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e1-my.sharepoint.com/personal/ezaragoza_cre_gob_mx/Documents/1.1 DGAEEIE 2021/2. DGTR/1. Porteo/2. Memorias/"/>
    </mc:Choice>
  </mc:AlternateContent>
  <xr:revisionPtr revIDLastSave="8" documentId="8_{E62695D0-020E-4D3F-886D-F99C488B29A3}" xr6:coauthVersionLast="46" xr6:coauthVersionMax="46" xr10:uidLastSave="{A07D30F1-DECA-472A-BD38-2D18026EA9E9}"/>
  <bookViews>
    <workbookView xWindow="-120" yWindow="-120" windowWidth="20730" windowHeight="11160" tabRatio="853" xr2:uid="{00000000-000D-0000-FFFF-FFFF00000000}"/>
  </bookViews>
  <sheets>
    <sheet name="Contenido" sheetId="17" r:id="rId1"/>
    <sheet name="Cargos transmisión renovables" sheetId="9" r:id="rId2"/>
    <sheet name="Insumos (I) " sheetId="7" r:id="rId3"/>
    <sheet name="Insumos (P) " sheetId="8" r:id="rId4"/>
    <sheet name="Insumos (SC) " sheetId="14" r:id="rId5"/>
    <sheet name="Insumos (CFAC)" sheetId="25" r:id="rId6"/>
  </sheets>
  <definedNames>
    <definedName name="_xlnm.Print_Area" localSheetId="0">Contenido!$A$1:$Q$19</definedName>
    <definedName name="_xlnm.Print_Area" localSheetId="5">'Insumos (CFAC)'!$A$9:$G$13</definedName>
    <definedName name="_xlnm.Print_Area" localSheetId="2">'Insumos (I) '!$A$1:$O$100</definedName>
    <definedName name="_xlnm.Print_Area" localSheetId="3">'Insumos (P) '!$A$1:$R$58</definedName>
    <definedName name="_xlnm.Print_Area" localSheetId="4">'Insumos (SC) '!$A$9:$G$14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C21" i="7" l="1"/>
  <c r="E11" i="9" l="1"/>
  <c r="E12" i="9"/>
  <c r="E10" i="9"/>
  <c r="G39" i="7"/>
  <c r="F39" i="7"/>
  <c r="G38" i="7"/>
  <c r="F38" i="7"/>
  <c r="G37" i="7"/>
  <c r="F37" i="7"/>
  <c r="E30" i="25"/>
  <c r="D30" i="25"/>
  <c r="F29" i="25"/>
  <c r="F28" i="25"/>
  <c r="F27" i="25"/>
  <c r="C24" i="25"/>
  <c r="F40" i="7" l="1"/>
  <c r="C43" i="7" s="1"/>
  <c r="F30" i="25"/>
  <c r="C27" i="25"/>
  <c r="C10" i="25" s="1"/>
  <c r="F10" i="9" s="1"/>
  <c r="G40" i="7"/>
  <c r="C44" i="7" s="1"/>
  <c r="C28" i="25" l="1"/>
  <c r="C11" i="25" l="1"/>
  <c r="F11" i="9" s="1"/>
  <c r="C29" i="25"/>
  <c r="C12" i="25" s="1"/>
  <c r="F12" i="9" s="1"/>
  <c r="C71" i="7" l="1"/>
  <c r="D20" i="8" l="1"/>
  <c r="C57" i="8" l="1"/>
  <c r="C54" i="8" s="1"/>
  <c r="D10" i="8" s="1"/>
  <c r="D68" i="7" l="1"/>
  <c r="E67" i="7" l="1"/>
  <c r="E63" i="7"/>
  <c r="E59" i="7"/>
  <c r="E55" i="7"/>
  <c r="E62" i="7"/>
  <c r="E58" i="7"/>
  <c r="E54" i="7"/>
  <c r="E61" i="7"/>
  <c r="E53" i="7"/>
  <c r="E66" i="7"/>
  <c r="E57" i="7"/>
  <c r="E64" i="7"/>
  <c r="E56" i="7"/>
  <c r="E65" i="7"/>
  <c r="E60" i="7"/>
  <c r="E52" i="7"/>
  <c r="C73" i="7" l="1"/>
  <c r="C11" i="7" s="1"/>
  <c r="E68" i="7"/>
  <c r="H54" i="8"/>
  <c r="D54" i="8"/>
  <c r="C10" i="8" l="1"/>
  <c r="E10" i="8" s="1"/>
  <c r="D11" i="8" l="1"/>
  <c r="G53" i="8"/>
  <c r="G52" i="8"/>
  <c r="G54" i="8" l="1"/>
  <c r="D12" i="8" s="1"/>
  <c r="R45" i="8" l="1"/>
  <c r="P29" i="8" s="1"/>
  <c r="Q45" i="8"/>
  <c r="O29" i="8" s="1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I28" i="8"/>
  <c r="M28" i="8" s="1"/>
  <c r="J29" i="8"/>
  <c r="N29" i="8" s="1"/>
  <c r="J30" i="8"/>
  <c r="N30" i="8" s="1"/>
  <c r="J31" i="8"/>
  <c r="N31" i="8" s="1"/>
  <c r="J32" i="8"/>
  <c r="N32" i="8" s="1"/>
  <c r="J33" i="8"/>
  <c r="N33" i="8" s="1"/>
  <c r="J34" i="8"/>
  <c r="N34" i="8" s="1"/>
  <c r="J35" i="8"/>
  <c r="N35" i="8" s="1"/>
  <c r="J36" i="8"/>
  <c r="N36" i="8" s="1"/>
  <c r="J37" i="8"/>
  <c r="N37" i="8" s="1"/>
  <c r="J38" i="8"/>
  <c r="N38" i="8" s="1"/>
  <c r="J39" i="8"/>
  <c r="N39" i="8" s="1"/>
  <c r="J40" i="8"/>
  <c r="N40" i="8" s="1"/>
  <c r="J41" i="8"/>
  <c r="N41" i="8" s="1"/>
  <c r="J42" i="8"/>
  <c r="N42" i="8" s="1"/>
  <c r="J43" i="8"/>
  <c r="N43" i="8" s="1"/>
  <c r="J28" i="8"/>
  <c r="N28" i="8" s="1"/>
  <c r="P36" i="8" l="1"/>
  <c r="O32" i="8"/>
  <c r="P32" i="8"/>
  <c r="O36" i="8"/>
  <c r="O28" i="8"/>
  <c r="P28" i="8"/>
  <c r="O40" i="8"/>
  <c r="P40" i="8"/>
  <c r="O43" i="8"/>
  <c r="O39" i="8"/>
  <c r="O35" i="8"/>
  <c r="O31" i="8"/>
  <c r="P43" i="8"/>
  <c r="P39" i="8"/>
  <c r="P35" i="8"/>
  <c r="P31" i="8"/>
  <c r="O42" i="8"/>
  <c r="O38" i="8"/>
  <c r="O34" i="8"/>
  <c r="O30" i="8"/>
  <c r="P42" i="8"/>
  <c r="P38" i="8"/>
  <c r="P34" i="8"/>
  <c r="P30" i="8"/>
  <c r="N45" i="8" s="1"/>
  <c r="O41" i="8"/>
  <c r="O37" i="8"/>
  <c r="O33" i="8"/>
  <c r="P41" i="8"/>
  <c r="P37" i="8"/>
  <c r="P33" i="8"/>
  <c r="M45" i="8" l="1"/>
  <c r="C12" i="8" s="1"/>
  <c r="E12" i="8" s="1"/>
  <c r="C11" i="8"/>
  <c r="E11" i="8" s="1"/>
  <c r="D95" i="7"/>
  <c r="C30" i="7"/>
  <c r="E94" i="7" l="1"/>
  <c r="E93" i="7"/>
  <c r="E92" i="7"/>
  <c r="E86" i="7"/>
  <c r="E80" i="7"/>
  <c r="E85" i="7"/>
  <c r="E82" i="7"/>
  <c r="E91" i="7"/>
  <c r="E79" i="7"/>
  <c r="E87" i="7"/>
  <c r="E90" i="7"/>
  <c r="E84" i="7"/>
  <c r="E89" i="7"/>
  <c r="E83" i="7"/>
  <c r="E88" i="7"/>
  <c r="E81" i="7"/>
  <c r="C47" i="7"/>
  <c r="C10" i="7" s="1"/>
  <c r="E95" i="7" l="1"/>
  <c r="C98" i="7"/>
  <c r="C12" i="7" s="1"/>
  <c r="C10" i="9" l="1"/>
  <c r="C11" i="9" l="1"/>
  <c r="D10" i="9" l="1"/>
  <c r="G10" i="9" s="1"/>
  <c r="D11" i="9" l="1"/>
  <c r="G11" i="9" s="1"/>
  <c r="D12" i="9" l="1"/>
  <c r="C12" i="9" l="1"/>
  <c r="G12" i="9" s="1"/>
</calcChain>
</file>

<file path=xl/sharedStrings.xml><?xml version="1.0" encoding="utf-8"?>
<sst xmlns="http://schemas.openxmlformats.org/spreadsheetml/2006/main" count="278" uniqueCount="159">
  <si>
    <t>Comisión Reguladora de Energía</t>
  </si>
  <si>
    <t>Unidad de Electricidad</t>
  </si>
  <si>
    <t>Pérdidas</t>
  </si>
  <si>
    <t>Baja</t>
  </si>
  <si>
    <t>Alta</t>
  </si>
  <si>
    <t>Media</t>
  </si>
  <si>
    <t>Insumos (P)</t>
  </si>
  <si>
    <t>Insumos (I)</t>
  </si>
  <si>
    <t>BT</t>
  </si>
  <si>
    <t>MT</t>
  </si>
  <si>
    <t>Regresar</t>
  </si>
  <si>
    <t>Alta Tensión</t>
  </si>
  <si>
    <t>Media Tensión</t>
  </si>
  <si>
    <t>Baja tensión</t>
  </si>
  <si>
    <t>DIT</t>
  </si>
  <si>
    <t>DIST</t>
  </si>
  <si>
    <t>GDMTO</t>
  </si>
  <si>
    <t>GDMTH</t>
  </si>
  <si>
    <t>Precio medio ($/kWh)</t>
  </si>
  <si>
    <t>Nivel de tensión</t>
  </si>
  <si>
    <t>Transmisión (&gt;=220 kV)</t>
  </si>
  <si>
    <t>Subtransmisión (&lt;220 kV)</t>
  </si>
  <si>
    <t>Suma</t>
  </si>
  <si>
    <t>Baja California</t>
  </si>
  <si>
    <t>Bajío</t>
  </si>
  <si>
    <t>Centro Occidente</t>
  </si>
  <si>
    <t>Centro Oriente</t>
  </si>
  <si>
    <t>Centro Sur</t>
  </si>
  <si>
    <t>Golfo Centro</t>
  </si>
  <si>
    <t>Golfo Norte</t>
  </si>
  <si>
    <t>Jalisco</t>
  </si>
  <si>
    <t>Noroeste</t>
  </si>
  <si>
    <t>Norte</t>
  </si>
  <si>
    <t>Oriente</t>
  </si>
  <si>
    <t>Peninsular</t>
  </si>
  <si>
    <t>Sureste</t>
  </si>
  <si>
    <t>Valle de México Centro</t>
  </si>
  <si>
    <t>Valle de México Norte</t>
  </si>
  <si>
    <t>Valle de México Sur</t>
  </si>
  <si>
    <t>Nivel de Tensión</t>
  </si>
  <si>
    <t>Porcentaje de pérdidas técnicas (%)</t>
  </si>
  <si>
    <t>Año Base</t>
  </si>
  <si>
    <t>División de distribución</t>
  </si>
  <si>
    <t>Fuente: Anexo D del Acuerdo A/074/2015. Incluye pérdidas de Baja y Media Tensión.</t>
  </si>
  <si>
    <t>Pérdidas Técnicas en Alta Tensión (GWh)</t>
  </si>
  <si>
    <t>Conceptos</t>
  </si>
  <si>
    <t>Pérdidas técnicas
(%)</t>
  </si>
  <si>
    <t>Cargo 
($/kWh)</t>
  </si>
  <si>
    <t>Concepto</t>
  </si>
  <si>
    <t>Tarifa Regulada</t>
  </si>
  <si>
    <t>Número de centros de cargas</t>
  </si>
  <si>
    <t>Cargos Transmisión Renovables</t>
  </si>
  <si>
    <t>Fuente: Balance de Energía CFE Diciembre 2018 (CFE ICL).</t>
  </si>
  <si>
    <t>Costo
($)</t>
  </si>
  <si>
    <t>Nivel de tensión
(kV)</t>
  </si>
  <si>
    <t>Horas de un mes promedio</t>
  </si>
  <si>
    <t>Energía ingresada en la red (GWh)</t>
  </si>
  <si>
    <t>Precio medio (pesos/kWh)</t>
  </si>
  <si>
    <t>Proporción de energía facturada en 2018</t>
  </si>
  <si>
    <t>Proporción de pérdidas técnicas</t>
  </si>
  <si>
    <t>Pérdidas técnicas en Baja y Media Tensión referidas a la energía recibida en cada nivel de tensión</t>
  </si>
  <si>
    <t>Periodo de vigencia</t>
  </si>
  <si>
    <t>Meses en vigencia</t>
  </si>
  <si>
    <t>ene-feb 2018</t>
  </si>
  <si>
    <t>mar-jul 2018</t>
  </si>
  <si>
    <t>ago-dic 2018</t>
  </si>
  <si>
    <t>Tarifas de Operación del CENACE vigentes en 2018</t>
  </si>
  <si>
    <t>Tarifa ponderada 2018</t>
  </si>
  <si>
    <t>Tarifa Generadores ($/MWh)</t>
  </si>
  <si>
    <t>Tarifa ponderada Generadores 
($/MWh)</t>
  </si>
  <si>
    <t>Tarifa ponderada Cargas 
($/MWh)</t>
  </si>
  <si>
    <t>Uso de la infraestructura</t>
  </si>
  <si>
    <t>Porcentaje de pérdidas  técnicas en Baja Tensión (BT) y Media Tensión (MT)</t>
  </si>
  <si>
    <t>Proporción de la suma de la energía facturada</t>
  </si>
  <si>
    <t>Proporción de pérdidas técnicas en Baja y Media Tensión referidas a la energía ingresada en cada nivel de tensión</t>
  </si>
  <si>
    <t>Porcentaje de pérdidas técnicas reconocidas por división (%)</t>
  </si>
  <si>
    <t>Energía promedio mensual entregada por centro de carga
(kWh/carga)</t>
  </si>
  <si>
    <t>Costo operativo promedio mensual de CFE ICL</t>
  </si>
  <si>
    <t>Costo promedio mensual por centro de carga ($/carga)</t>
  </si>
  <si>
    <r>
      <t>Tarifa de transmisión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
($/kWh)</t>
    </r>
  </si>
  <si>
    <r>
      <t>Proporción de energía</t>
    </r>
    <r>
      <rPr>
        <b/>
        <vertAlign val="superscript"/>
        <sz val="10"/>
        <color theme="0"/>
        <rFont val="Montserrat"/>
      </rPr>
      <t>2/</t>
    </r>
  </si>
  <si>
    <r>
      <t>Proporción de Energía</t>
    </r>
    <r>
      <rPr>
        <b/>
        <vertAlign val="superscript"/>
        <sz val="10"/>
        <color theme="0"/>
        <rFont val="Montserrat"/>
      </rPr>
      <t>2/</t>
    </r>
  </si>
  <si>
    <r>
      <t>Ventas de energía eléctrica en 2018</t>
    </r>
    <r>
      <rPr>
        <b/>
        <vertAlign val="superscript"/>
        <sz val="10"/>
        <color theme="0"/>
        <rFont val="Montserrat"/>
      </rPr>
      <t>2/</t>
    </r>
    <r>
      <rPr>
        <b/>
        <sz val="10"/>
        <color theme="0"/>
        <rFont val="Montserrat"/>
      </rPr>
      <t xml:space="preserve"> (GWh)</t>
    </r>
  </si>
  <si>
    <r>
      <t>Factor de Carga</t>
    </r>
    <r>
      <rPr>
        <b/>
        <vertAlign val="superscript"/>
        <sz val="10"/>
        <color theme="0"/>
        <rFont val="Montserrat"/>
      </rPr>
      <t>3/</t>
    </r>
  </si>
  <si>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 xml:space="preserve"> Factor de carga promedio de las categorías tarifarias GDMTH y GDMTO (Fuente: Anexo Único del Acuerdo A/038/2019).</t>
    </r>
  </si>
  <si>
    <r>
      <t>Año Base</t>
    </r>
    <r>
      <rPr>
        <b/>
        <vertAlign val="superscript"/>
        <sz val="10"/>
        <color theme="0"/>
        <rFont val="Montserrat"/>
      </rPr>
      <t>1/</t>
    </r>
  </si>
  <si>
    <r>
      <t>2018</t>
    </r>
    <r>
      <rPr>
        <b/>
        <vertAlign val="superscript"/>
        <sz val="10"/>
        <color theme="0"/>
        <rFont val="Montserrat"/>
      </rPr>
      <t>2/</t>
    </r>
  </si>
  <si>
    <r>
      <t>Ventas de energía eléctrica</t>
    </r>
    <r>
      <rPr>
        <b/>
        <vertAlign val="superscript"/>
        <sz val="10"/>
        <color theme="0"/>
        <rFont val="Montserrat"/>
      </rPr>
      <t>3/</t>
    </r>
    <r>
      <rPr>
        <b/>
        <sz val="10"/>
        <color theme="0"/>
        <rFont val="Montserrat"/>
      </rPr>
      <t xml:space="preserve">
(GWh)</t>
    </r>
  </si>
  <si>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 xml:space="preserve"> Ventas de energía eléctrica en 2018 asociadas a las categorías tarifarias PDBT y GDBT para Baja Tensión; y, GDMTH y GDMTO para Media Tensión (Fuente: CFE SSB).</t>
    </r>
  </si>
  <si>
    <r>
      <t>Facturación de energía eléctrica</t>
    </r>
    <r>
      <rPr>
        <vertAlign val="superscript"/>
        <sz val="10"/>
        <color theme="1"/>
        <rFont val="Montserrat"/>
      </rPr>
      <t xml:space="preserve">1/ </t>
    </r>
    <r>
      <rPr>
        <sz val="10"/>
        <color theme="1"/>
        <rFont val="Montserrat"/>
      </rPr>
      <t>(millones de pesos)</t>
    </r>
  </si>
  <si>
    <r>
      <t>Volumen de energía eléctrica facturada</t>
    </r>
    <r>
      <rPr>
        <vertAlign val="superscript"/>
        <sz val="10"/>
        <color theme="1"/>
        <rFont val="Montserrat"/>
      </rPr>
      <t>2/</t>
    </r>
    <r>
      <rPr>
        <sz val="10"/>
        <color theme="1"/>
        <rFont val="Montserrat"/>
      </rPr>
      <t xml:space="preserve"> (GWh)</t>
    </r>
  </si>
  <si>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>Tarifa regulada de transmisión en 2018 aplicable a consumidores en tensiones ≥ 220 kV (Fuente: DOF 29/01/2018).</t>
    </r>
  </si>
  <si>
    <r>
      <t>Operación del CENACE-Generadores</t>
    </r>
    <r>
      <rPr>
        <vertAlign val="superscript"/>
        <sz val="10"/>
        <color theme="1"/>
        <rFont val="Montserrat"/>
      </rPr>
      <t>1/</t>
    </r>
  </si>
  <si>
    <r>
      <t>Operación del CENACE-Cargas</t>
    </r>
    <r>
      <rPr>
        <vertAlign val="superscript"/>
        <sz val="10"/>
        <color theme="1"/>
        <rFont val="Montserrat"/>
      </rPr>
      <t>1/</t>
    </r>
  </si>
  <si>
    <r>
      <t>Costo de operación autorizado a CFE ICL en 2018</t>
    </r>
    <r>
      <rPr>
        <vertAlign val="superscript"/>
        <sz val="10"/>
        <color theme="1"/>
        <rFont val="Montserrat"/>
      </rPr>
      <t>1/</t>
    </r>
  </si>
  <si>
    <r>
      <t>Proporción del costo operativo promedio mensual asociado a centros de carga</t>
    </r>
    <r>
      <rPr>
        <vertAlign val="superscript"/>
        <sz val="10"/>
        <color theme="1"/>
        <rFont val="Montserrat"/>
      </rPr>
      <t>2/</t>
    </r>
  </si>
  <si>
    <r>
      <t>Número de centros de carga promedio mensual</t>
    </r>
    <r>
      <rPr>
        <vertAlign val="superscript"/>
        <sz val="10"/>
        <color theme="1"/>
        <rFont val="Montserrat"/>
      </rPr>
      <t>3/</t>
    </r>
  </si>
  <si>
    <r>
      <t>Número de centros de carga promedio mensual</t>
    </r>
    <r>
      <rPr>
        <b/>
        <vertAlign val="superscript"/>
        <sz val="10"/>
        <color theme="0"/>
        <rFont val="Montserrat"/>
      </rPr>
      <t>4/</t>
    </r>
  </si>
  <si>
    <r>
      <t>Energía promedio mensual</t>
    </r>
    <r>
      <rPr>
        <b/>
        <vertAlign val="superscript"/>
        <sz val="10"/>
        <color theme="0"/>
        <rFont val="Montserrat"/>
      </rPr>
      <t>5/</t>
    </r>
    <r>
      <rPr>
        <b/>
        <sz val="10"/>
        <color theme="0"/>
        <rFont val="Montserrat"/>
      </rPr>
      <t xml:space="preserve">
 (MWh)</t>
    </r>
  </si>
  <si>
    <r>
      <t>Cargo</t>
    </r>
    <r>
      <rPr>
        <b/>
        <vertAlign val="superscript"/>
        <sz val="10"/>
        <color theme="0"/>
        <rFont val="Montserrat"/>
      </rPr>
      <t>1/</t>
    </r>
  </si>
  <si>
    <t>Insumos (SC)</t>
  </si>
  <si>
    <t>Insumos (CFAC)</t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</si>
  <si>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Tarifa regulada de Operación del CENACE en 2018 (Fuente: Acuerdos A/068/2017, A/004/2018 y A/023/2018).</t>
    </r>
  </si>
  <si>
    <t>Costo por el uso de la infraestructura en Media Tensión ($/kWh)</t>
  </si>
  <si>
    <t>Costo por el uso de la infraestructura en Alta Tensión ($/kWh)</t>
  </si>
  <si>
    <t>Costo
($/kWh)</t>
  </si>
  <si>
    <t>Componente del costo por el uso de la infraestructura correspondiente a los consumidores en Alta Tensión</t>
  </si>
  <si>
    <t>Componente del costo por el uso de la infraestructura correspondiente a los generadores en Alta Tensión</t>
  </si>
  <si>
    <t>Costo
 (pesos/kWh)</t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</si>
  <si>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Tarifa regulada de Servicios Conexos no incluidos en el MEM en 2018 (Fuente: Acuerdo A/058/2017).</t>
    </r>
  </si>
  <si>
    <r>
      <t>Alta</t>
    </r>
    <r>
      <rPr>
        <b/>
        <vertAlign val="superscript"/>
        <sz val="10"/>
        <color theme="1"/>
        <rFont val="Montserrat"/>
      </rPr>
      <t>1/</t>
    </r>
  </si>
  <si>
    <t>Administración del Convenio</t>
  </si>
  <si>
    <t>Cargo fijo por administración del Convenio
($/kWh)</t>
  </si>
  <si>
    <t>Memoria de cálculo de los cargos por el Servicio de Transmisión de energía eléctrica para fuentes de energía renovable o cogeneración eficiente a precios de 2018.</t>
  </si>
  <si>
    <t>2. Insumos</t>
  </si>
  <si>
    <t>a) Componente del costo por el uso de la infraestructura correspondiente a los consumidores en Alta Tensión</t>
  </si>
  <si>
    <t>b) Componente del costo por el uso de la infraestructura correspondiente a los generadores en Alta Tensión</t>
  </si>
  <si>
    <t>c) Componente del costo por el uso de la infraestructura correspondiente al costo por operación del CENACE</t>
  </si>
  <si>
    <t>2.1.2 Costo por el uso de la infraestructura en Media Tensión</t>
  </si>
  <si>
    <t>2.1.1 Costo por el uso de la infraestructura en Alta Tensión</t>
  </si>
  <si>
    <t>2.1.3 Costo por el uso de la infraestructura en Baja Tensión</t>
  </si>
  <si>
    <t>2.2.1 Porcentaje de pérdidas técnicas</t>
  </si>
  <si>
    <t>a) Porcentaje de pérdidas técnicas para Alta Tensión</t>
  </si>
  <si>
    <t>b) Porcentaje de pérdidas técnicas para Media y Baja Tensión</t>
  </si>
  <si>
    <t>2.2.2 Precio medio</t>
  </si>
  <si>
    <t>2.4.1 Costos por la administración del Convenio</t>
  </si>
  <si>
    <t>Cargos por el Servicio de Transmisión de energía eléctrica para fuentes de energía renovable o cogeneración eficiente a precios de 2018.</t>
  </si>
  <si>
    <t>Cargos por el Servicio de Transmisión</t>
  </si>
  <si>
    <t>Costo por el uso de la infraestructura</t>
  </si>
  <si>
    <t>Tarifa Cargas ($/MWh)</t>
  </si>
  <si>
    <t>Costo por pérdidas</t>
  </si>
  <si>
    <t>Costo por servicios conexos a la transmisión</t>
  </si>
  <si>
    <t>Cargo fijo por administración del Convenio</t>
  </si>
  <si>
    <t>Contenido</t>
  </si>
  <si>
    <r>
      <t>Tarifa de transmisión</t>
    </r>
    <r>
      <rPr>
        <b/>
        <vertAlign val="superscript"/>
        <sz val="10"/>
        <color theme="0"/>
        <rFont val="Montserrat"/>
      </rPr>
      <t>3/</t>
    </r>
    <r>
      <rPr>
        <b/>
        <sz val="10"/>
        <color theme="0"/>
        <rFont val="Montserrat"/>
      </rPr>
      <t xml:space="preserve"> (pesos/kWh)</t>
    </r>
  </si>
  <si>
    <t>1. Cargos por el Servicio de Transmisión</t>
  </si>
  <si>
    <t>Servicios conexos a la transmisión</t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</si>
  <si>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Tarifa regulada de transmisión en 2018 aplicable a consumidores (Fuente: DOF 29/01/2018).
</t>
    </r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Energía entregada a los centros de carga incluidos en un Contrato de Interconexión Legado (CIL) para fuentes de energía renovable o cogeneración eficiente en 2018 (Fuente: CFE ICL).</t>
    </r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</si>
  <si>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Tarifa regulada de transmisión en 2018 aplicable a generadores (Fuente: DOF 29/01/2018).
</t>
    </r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Energía generada por las centrales eléctricas incluidas en un CIL para fuentes de energía renovable o cogeneración eficiente en 2018 (Fuente: CFE ICL).</t>
    </r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</si>
  <si>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Tarifa regulada de distribución en 2018 correspondiente a la categoría tarifaria GDMT (Fuente: DOF 18/01/2018).
</t>
    </r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Ventas de energía eléctrica en 2018 asociadas a las categorías tarifarias GDMTH y GDMTO (Fuente: CFE SSB).</t>
    </r>
  </si>
  <si>
    <r>
      <rPr>
        <vertAlign val="superscript"/>
        <sz val="9"/>
        <color theme="1"/>
        <rFont val="Montserrat"/>
      </rPr>
      <t xml:space="preserve">1/ </t>
    </r>
    <r>
      <rPr>
        <sz val="9"/>
        <color theme="1"/>
        <rFont val="Montserrat"/>
      </rPr>
      <t xml:space="preserve">Tarifa regulada de distribución en 2018 correspondiente a la categoría tarifaria PDBT (Fuente: DOF 18/01/2018).
</t>
    </r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Ventas de energía eléctrica en 2018 asociadas a la categoría tarifaria PDBT (Fuente: CFE SSB).</t>
    </r>
  </si>
  <si>
    <r>
      <t>Costo por el uso de la infraestructura en Baja Tensión ($/kWh)</t>
    </r>
    <r>
      <rPr>
        <b/>
        <vertAlign val="superscript"/>
        <sz val="10"/>
        <color theme="0"/>
        <rFont val="Montserrat"/>
      </rPr>
      <t>3/</t>
    </r>
  </si>
  <si>
    <r>
      <rPr>
        <vertAlign val="superscript"/>
        <sz val="9"/>
        <color theme="1"/>
        <rFont val="Montserrat"/>
      </rPr>
      <t xml:space="preserve">3/ </t>
    </r>
    <r>
      <rPr>
        <sz val="9"/>
        <color theme="1"/>
        <rFont val="Montserrat"/>
      </rPr>
      <t>El costo por uso de la infraestructura en Baja Tensión resulta de la diferencia entre los costos calculados para Baja y Media tensión.</t>
    </r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</si>
  <si>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Proporción de pérdidas técnicas en Baja y Media Tensión estimado a partir de las pérdidas reportadas en el Balance de Energía 2014 (Fuente: CFE).
</t>
    </r>
    <r>
      <rPr>
        <vertAlign val="superscript"/>
        <sz val="9"/>
        <color theme="1"/>
        <rFont val="Montserrat"/>
      </rPr>
      <t xml:space="preserve">2/ </t>
    </r>
    <r>
      <rPr>
        <sz val="9"/>
        <color theme="1"/>
        <rFont val="Montserrat"/>
      </rPr>
      <t>Proporción de pérdidas técnicas en Baja y Media Tensión estimadas a partir del porcentaje de pérdidas reconocidas para el 2018 en el Anexo D del Acuerdo A/074/2015.</t>
    </r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</si>
  <si>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Productos facturados en 2018 (Fuente: CFE SSB).
</t>
    </r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Ventas de energía eléctrica en 2018 (Fuente: CFE SSB).</t>
    </r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</si>
  <si>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Costo autorizado a CFE ICL para 2018 (Fuente: Acuerdo A/003/2018).
</t>
    </r>
    <r>
      <rPr>
        <vertAlign val="superscript"/>
        <sz val="9"/>
        <color theme="1"/>
        <rFont val="Montserrat"/>
      </rPr>
      <t xml:space="preserve">2/ </t>
    </r>
    <r>
      <rPr>
        <sz val="9"/>
        <color theme="1"/>
        <rFont val="Montserrat"/>
      </rPr>
      <t xml:space="preserve">Estimación de la proporción de tiempo promedio mensual que se destina a la administración de cada una de las actividades asociadas a las cargas incluidas en un CIL (0.62) respecto al tiempo promedio mensual que se destina a la administración de un CIL (Fuente: CFE ICL).
</t>
    </r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 xml:space="preserve">Número de centros de carga promedio mensual incluidos en un CIL en 2018 (Fuente: CFE ICL).
</t>
    </r>
    <r>
      <rPr>
        <vertAlign val="superscript"/>
        <sz val="9"/>
        <color theme="1"/>
        <rFont val="Montserrat"/>
      </rPr>
      <t>4/</t>
    </r>
    <r>
      <rPr>
        <sz val="9"/>
        <color theme="1"/>
        <rFont val="Montserrat"/>
      </rPr>
      <t xml:space="preserve">Número de centros de carga promedio mensual en 2018, asociados a fuentes de energía renovable o cogeneración eficiente (Fuente: CFE ICL).
</t>
    </r>
    <r>
      <rPr>
        <vertAlign val="superscript"/>
        <sz val="9"/>
        <color theme="1"/>
        <rFont val="Montserrat"/>
      </rPr>
      <t>5/</t>
    </r>
    <r>
      <rPr>
        <sz val="9"/>
        <color theme="1"/>
        <rFont val="Montserrat"/>
      </rPr>
      <t>Energía promedio mensual entregada en 2018 a los centros de carga asociados a fuentes de energía renovable o cogeneración eficiente (Fuente: CFE ICL).</t>
    </r>
  </si>
  <si>
    <t>2.2 Costo por pérdidas a precios de 2018</t>
  </si>
  <si>
    <t>2.3 Costo por servicios conexos a la transmisión a precios de 2018</t>
  </si>
  <si>
    <t>2.4 Cargo fijo por administración del Convenio a precios de 2018</t>
  </si>
  <si>
    <t>2.1 Costo por el uso de la infraestructura a precios de 2018</t>
  </si>
  <si>
    <t>Costo por el uso de la infraestructura ($/kWh) a precios de 2018.</t>
  </si>
  <si>
    <t>Costo por pérdidas ($/kWh) a precios de 2018.</t>
  </si>
  <si>
    <t>Costo por servicios conexos a la transmisión ($/kWh) a precios de 2018.</t>
  </si>
  <si>
    <t>Cargo fijo por administración del Convenio ($/kWh) a precios de 2018.</t>
  </si>
  <si>
    <t>1.1 Cargos por el Servicio de Transmisión de energía eléctrica para fuentes de energía renovable o cogeneración eficiente (cargos en $/kWh a precios de 2018)</t>
  </si>
  <si>
    <r>
      <rPr>
        <vertAlign val="superscript"/>
        <sz val="9"/>
        <color theme="1"/>
        <rFont val="Montserrat"/>
      </rPr>
      <t>1/</t>
    </r>
    <r>
      <rPr>
        <sz val="9"/>
        <color theme="1"/>
        <rFont val="Montserrat"/>
      </rPr>
      <t xml:space="preserve"> El cargo se obtiene sumando los componentes de uso de la infraestructura, pérdidas, servicios conexos a la transmisión y administración del Convenio.Redondeo a cinco decimales.</t>
    </r>
  </si>
  <si>
    <r>
      <t>Tarifa de distribución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
($/kW-mes)</t>
    </r>
  </si>
  <si>
    <r>
      <t>Tarifa de distribución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
($/kWh-mes)</t>
    </r>
  </si>
  <si>
    <t>Suma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</si>
</sst>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00"/>
    <numFmt numFmtId="166" formatCode="0.0%"/>
    <numFmt numFmtId="167" formatCode="0.00000"/>
    <numFmt numFmtId="168" formatCode="_-* #,##0_-;\-* #,##0_-;_-* &quot;-&quot;??_-;_-@_-"/>
    <numFmt numFmtId="169" formatCode="0.0000000000"/>
    <numFmt numFmtId="170" formatCode="0.0"/>
    <numFmt numFmtId="171" formatCode="#,##0.0000"/>
    <numFmt numFmtId="172" formatCode="#,##0.000"/>
    <numFmt numFmtId="173" formatCode="0.00000000000"/>
    <numFmt numFmtId="174" formatCode="0.000000"/>
    <numFmt numFmtId="175" formatCode="#,##0.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Montserrat"/>
    </font>
    <font>
      <sz val="10"/>
      <color theme="1"/>
      <name val="Montserrat"/>
    </font>
    <font>
      <u/>
      <sz val="10"/>
      <name val="Montserrat"/>
    </font>
    <font>
      <sz val="11"/>
      <color theme="1"/>
      <name val="Montserrat"/>
    </font>
    <font>
      <b/>
      <sz val="12"/>
      <color theme="1"/>
      <name val="Montserrat"/>
    </font>
    <font>
      <u/>
      <sz val="11"/>
      <color theme="10"/>
      <name val="Montserrat"/>
    </font>
    <font>
      <b/>
      <sz val="11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1"/>
      <name val="Montserrat"/>
    </font>
    <font>
      <b/>
      <vertAlign val="superscript"/>
      <sz val="10"/>
      <color theme="0"/>
      <name val="Montserrat"/>
    </font>
    <font>
      <vertAlign val="superscript"/>
      <sz val="9"/>
      <color theme="1"/>
      <name val="Montserrat"/>
    </font>
    <font>
      <sz val="10"/>
      <color theme="0" tint="-0.499984740745262"/>
      <name val="Montserrat"/>
    </font>
    <font>
      <sz val="8"/>
      <color theme="0" tint="-0.499984740745262"/>
      <name val="Montserrat"/>
    </font>
    <font>
      <b/>
      <sz val="10"/>
      <name val="Montserrat"/>
    </font>
    <font>
      <i/>
      <sz val="10"/>
      <color theme="1"/>
      <name val="Montserrat"/>
    </font>
    <font>
      <vertAlign val="superscript"/>
      <sz val="10"/>
      <color theme="1"/>
      <name val="Montserrat"/>
    </font>
    <font>
      <sz val="9"/>
      <name val="Montserrat"/>
    </font>
    <font>
      <vertAlign val="superscript"/>
      <sz val="9"/>
      <name val="Montserrat"/>
    </font>
    <font>
      <sz val="11"/>
      <name val="Montserrat"/>
    </font>
    <font>
      <b/>
      <sz val="11"/>
      <color rgb="FFFF0000"/>
      <name val="Montserrat"/>
    </font>
    <font>
      <b/>
      <vertAlign val="superscript"/>
      <sz val="10"/>
      <color theme="1"/>
      <name val="Montserrat"/>
    </font>
    <font>
      <b/>
      <sz val="14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37" fontId="4" fillId="0" borderId="0"/>
    <xf numFmtId="0" fontId="3" fillId="0" borderId="0"/>
    <xf numFmtId="44" fontId="1" fillId="0" borderId="0" applyFont="0" applyFill="0" applyBorder="0" applyAlignment="0" applyProtection="0"/>
  </cellStyleXfs>
  <cellXfs count="190">
    <xf numFmtId="0" fontId="0" fillId="0" borderId="0" xfId="0"/>
    <xf numFmtId="0" fontId="5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6" fillId="0" borderId="0" xfId="0" applyFont="1"/>
    <xf numFmtId="0" fontId="7" fillId="2" borderId="13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4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4" applyFont="1" applyAlignment="1">
      <alignment vertical="center"/>
    </xf>
    <xf numFmtId="0" fontId="11" fillId="4" borderId="0" xfId="3" applyFont="1" applyFill="1" applyAlignment="1">
      <alignment horizontal="left" vertical="center"/>
    </xf>
    <xf numFmtId="0" fontId="5" fillId="4" borderId="0" xfId="3" applyFont="1" applyFill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67" fontId="12" fillId="2" borderId="0" xfId="0" applyNumberFormat="1" applyFont="1" applyFill="1" applyAlignment="1">
      <alignment vertical="center"/>
    </xf>
    <xf numFmtId="167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5" fillId="3" borderId="0" xfId="3" applyFont="1" applyFill="1" applyAlignment="1">
      <alignment horizontal="left" vertical="center"/>
    </xf>
    <xf numFmtId="0" fontId="5" fillId="3" borderId="0" xfId="3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72" fontId="6" fillId="0" borderId="1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center" vertical="center"/>
    </xf>
    <xf numFmtId="169" fontId="6" fillId="2" borderId="0" xfId="0" applyNumberFormat="1" applyFont="1" applyFill="1"/>
    <xf numFmtId="9" fontId="12" fillId="2" borderId="1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9" fontId="12" fillId="2" borderId="0" xfId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vertical="center"/>
    </xf>
    <xf numFmtId="173" fontId="14" fillId="2" borderId="0" xfId="2" applyNumberFormat="1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Alignment="1">
      <alignment horizontal="right" vertical="center"/>
    </xf>
    <xf numFmtId="4" fontId="18" fillId="2" borderId="0" xfId="0" applyNumberFormat="1" applyFont="1" applyFill="1" applyAlignment="1">
      <alignment vertical="center"/>
    </xf>
    <xf numFmtId="1" fontId="6" fillId="2" borderId="0" xfId="0" applyNumberFormat="1" applyFont="1" applyFill="1" applyAlignment="1">
      <alignment vertical="center"/>
    </xf>
    <xf numFmtId="171" fontId="18" fillId="2" borderId="0" xfId="0" applyNumberFormat="1" applyFont="1" applyFill="1" applyAlignment="1">
      <alignment horizontal="right" vertical="center"/>
    </xf>
    <xf numFmtId="171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6" fillId="2" borderId="0" xfId="0" applyFont="1" applyFill="1"/>
    <xf numFmtId="2" fontId="12" fillId="2" borderId="1" xfId="1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Alignment="1">
      <alignment vertical="center"/>
    </xf>
    <xf numFmtId="168" fontId="6" fillId="2" borderId="1" xfId="2" applyNumberFormat="1" applyFont="1" applyFill="1" applyBorder="1" applyAlignment="1">
      <alignment horizontal="center" vertical="center"/>
    </xf>
    <xf numFmtId="168" fontId="21" fillId="2" borderId="0" xfId="0" applyNumberFormat="1" applyFont="1" applyFill="1" applyAlignment="1">
      <alignment vertical="center"/>
    </xf>
    <xf numFmtId="2" fontId="6" fillId="2" borderId="0" xfId="1" applyNumberFormat="1" applyFont="1" applyFill="1" applyAlignment="1">
      <alignment vertical="center"/>
    </xf>
    <xf numFmtId="43" fontId="6" fillId="2" borderId="1" xfId="2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indent="1"/>
    </xf>
    <xf numFmtId="166" fontId="6" fillId="2" borderId="10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3" fontId="6" fillId="2" borderId="5" xfId="2" applyNumberFormat="1" applyFont="1" applyFill="1" applyBorder="1" applyAlignment="1">
      <alignment horizontal="right" indent="1"/>
    </xf>
    <xf numFmtId="0" fontId="6" fillId="2" borderId="0" xfId="0" applyFont="1" applyFill="1" applyBorder="1"/>
    <xf numFmtId="165" fontId="6" fillId="2" borderId="0" xfId="0" applyNumberFormat="1" applyFont="1" applyFill="1" applyBorder="1"/>
    <xf numFmtId="0" fontId="6" fillId="2" borderId="2" xfId="0" applyFont="1" applyFill="1" applyBorder="1" applyAlignment="1">
      <alignment horizontal="left" indent="1"/>
    </xf>
    <xf numFmtId="166" fontId="6" fillId="2" borderId="2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3" fontId="6" fillId="2" borderId="8" xfId="2" applyNumberFormat="1" applyFont="1" applyFill="1" applyBorder="1" applyAlignment="1">
      <alignment horizontal="right" indent="1"/>
    </xf>
    <xf numFmtId="0" fontId="6" fillId="2" borderId="12" xfId="0" applyFont="1" applyFill="1" applyBorder="1" applyAlignment="1">
      <alignment vertical="center" wrapText="1"/>
    </xf>
    <xf numFmtId="4" fontId="6" fillId="2" borderId="0" xfId="0" applyNumberFormat="1" applyFont="1" applyFill="1" applyBorder="1"/>
    <xf numFmtId="2" fontId="12" fillId="0" borderId="1" xfId="1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indent="1"/>
    </xf>
    <xf numFmtId="168" fontId="6" fillId="2" borderId="0" xfId="2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43" fontId="6" fillId="2" borderId="0" xfId="2" applyNumberFormat="1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15" fillId="2" borderId="0" xfId="3" applyFont="1" applyFill="1" applyAlignment="1">
      <alignment horizontal="left" vertical="center"/>
    </xf>
    <xf numFmtId="165" fontId="6" fillId="2" borderId="1" xfId="8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170" fontId="6" fillId="2" borderId="0" xfId="0" applyNumberFormat="1" applyFont="1" applyFill="1" applyAlignment="1">
      <alignment vertical="center"/>
    </xf>
    <xf numFmtId="4" fontId="20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43" fontId="20" fillId="0" borderId="1" xfId="2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right" vertical="center"/>
    </xf>
    <xf numFmtId="165" fontId="6" fillId="2" borderId="0" xfId="0" applyNumberFormat="1" applyFont="1" applyFill="1"/>
    <xf numFmtId="0" fontId="6" fillId="2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65" fontId="6" fillId="2" borderId="0" xfId="0" applyNumberFormat="1" applyFont="1" applyFill="1" applyAlignment="1">
      <alignment horizontal="right" vertical="center"/>
    </xf>
    <xf numFmtId="0" fontId="25" fillId="2" borderId="9" xfId="7" applyFont="1" applyFill="1" applyBorder="1"/>
    <xf numFmtId="0" fontId="25" fillId="2" borderId="0" xfId="7" applyFon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indent="5"/>
    </xf>
    <xf numFmtId="0" fontId="8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8" fillId="2" borderId="0" xfId="0" applyNumberFormat="1" applyFont="1" applyFill="1" applyAlignment="1">
      <alignment vertical="center"/>
    </xf>
    <xf numFmtId="167" fontId="12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8" fillId="2" borderId="0" xfId="0" applyNumberFormat="1" applyFont="1" applyFill="1" applyAlignment="1">
      <alignment vertical="center"/>
    </xf>
    <xf numFmtId="167" fontId="6" fillId="2" borderId="0" xfId="0" applyNumberFormat="1" applyFont="1" applyFill="1" applyAlignment="1">
      <alignment vertical="center"/>
    </xf>
    <xf numFmtId="10" fontId="12" fillId="2" borderId="0" xfId="1" applyNumberFormat="1" applyFont="1" applyFill="1" applyAlignment="1">
      <alignment vertical="center"/>
    </xf>
    <xf numFmtId="174" fontId="12" fillId="2" borderId="0" xfId="0" applyNumberFormat="1" applyFont="1" applyFill="1" applyAlignment="1">
      <alignment vertical="center"/>
    </xf>
    <xf numFmtId="175" fontId="6" fillId="2" borderId="0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13" xfId="3" applyFont="1" applyFill="1" applyBorder="1" applyAlignment="1">
      <alignment horizontal="center" vertical="center"/>
    </xf>
    <xf numFmtId="0" fontId="28" fillId="2" borderId="0" xfId="3" applyFont="1" applyFill="1" applyAlignment="1">
      <alignment vertical="center"/>
    </xf>
    <xf numFmtId="0" fontId="5" fillId="0" borderId="0" xfId="0" applyFont="1"/>
    <xf numFmtId="0" fontId="25" fillId="2" borderId="13" xfId="3" applyFont="1" applyFill="1" applyBorder="1" applyAlignment="1">
      <alignment vertical="center"/>
    </xf>
    <xf numFmtId="0" fontId="25" fillId="2" borderId="13" xfId="3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172" fontId="20" fillId="5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horizontal="right" vertical="center"/>
    </xf>
    <xf numFmtId="0" fontId="5" fillId="2" borderId="0" xfId="3" applyFont="1" applyFill="1" applyAlignment="1">
      <alignment horizontal="center" vertical="center"/>
    </xf>
    <xf numFmtId="0" fontId="5" fillId="2" borderId="13" xfId="3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justify" vertical="center"/>
    </xf>
    <xf numFmtId="0" fontId="14" fillId="2" borderId="12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justify" vertical="center" wrapText="1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0" fontId="13" fillId="4" borderId="1" xfId="3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 wrapText="1"/>
    </xf>
    <xf numFmtId="165" fontId="12" fillId="2" borderId="14" xfId="0" applyNumberFormat="1" applyFont="1" applyFill="1" applyBorder="1" applyAlignment="1">
      <alignment horizontal="center" vertical="center"/>
    </xf>
    <xf numFmtId="165" fontId="12" fillId="2" borderId="15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</cellXfs>
  <cellStyles count="9">
    <cellStyle name="Hipervínculo" xfId="4" builtinId="8"/>
    <cellStyle name="Millares" xfId="2" builtinId="3"/>
    <cellStyle name="Moneda" xfId="8" builtinId="4"/>
    <cellStyle name="Normal" xfId="0" builtinId="0"/>
    <cellStyle name="Normal 16" xfId="6" xr:uid="{00000000-0005-0000-0000-000004000000}"/>
    <cellStyle name="Normal 2" xfId="5" xr:uid="{00000000-0005-0000-0000-000005000000}"/>
    <cellStyle name="Normal 2 2" xfId="7" xr:uid="{00000000-0005-0000-0000-000006000000}"/>
    <cellStyle name="Normal 5 3" xfId="3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404040"/>
      <color rgb="FFA42145"/>
      <color rgb="FFBC945A"/>
      <color rgb="FF8C1C3C"/>
      <color rgb="FF6E1D10"/>
      <color rgb="FFDDDDDD"/>
      <color rgb="FFF7D5DF"/>
      <color rgb="FFD033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441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>
    <tabColor theme="3"/>
    <pageSetUpPr fitToPage="1"/>
  </sheetPr>
  <dimension ref="A1:BR25"/>
  <sheetViews>
    <sheetView showGridLines="0" tabSelected="1" zoomScale="80" zoomScaleNormal="80" workbookViewId="0">
      <selection activeCell="C11" sqref="C11"/>
    </sheetView>
  </sheetViews>
  <sheetFormatPr baseColWidth="10" defaultColWidth="11.5703125" defaultRowHeight="15" x14ac:dyDescent="0.25"/>
  <cols>
    <col min="1" max="1" width="7.7109375" style="7" customWidth="1"/>
    <col min="2" max="2" width="25.7109375" style="7" customWidth="1"/>
    <col min="3" max="3" width="22.140625" style="7" customWidth="1"/>
    <col min="4" max="4" width="14.140625" style="7" customWidth="1"/>
    <col min="5" max="18" width="11.5703125" style="7"/>
    <col min="19" max="16384" width="11.5703125" style="9"/>
  </cols>
  <sheetData>
    <row r="1" spans="1:70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2"/>
      <c r="Q1" s="2"/>
      <c r="R1" s="2"/>
    </row>
    <row r="2" spans="1:70" s="1" customFormat="1" ht="22.15" customHeight="1" x14ac:dyDescent="0.25">
      <c r="B2" s="159"/>
      <c r="C2" s="142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70" s="1" customFormat="1" ht="22.15" customHeight="1" x14ac:dyDescent="0.25">
      <c r="B3" s="159"/>
      <c r="C3" s="142" t="s">
        <v>1</v>
      </c>
      <c r="G3" s="140"/>
      <c r="H3" s="140"/>
      <c r="I3" s="140"/>
      <c r="J3" s="140"/>
      <c r="K3" s="140"/>
      <c r="L3" s="140"/>
      <c r="M3" s="140"/>
      <c r="N3" s="140"/>
      <c r="O3" s="140"/>
      <c r="P3" s="2"/>
      <c r="Q3" s="2"/>
      <c r="R3" s="2"/>
    </row>
    <row r="4" spans="1:70" s="1" customFormat="1" ht="6.6" customHeight="1" x14ac:dyDescent="0.25">
      <c r="B4" s="159"/>
      <c r="C4" s="140"/>
      <c r="G4" s="140"/>
      <c r="H4" s="140"/>
      <c r="I4" s="140"/>
      <c r="J4" s="140"/>
      <c r="K4" s="140"/>
      <c r="L4" s="140"/>
      <c r="M4" s="140"/>
      <c r="N4" s="140"/>
      <c r="O4" s="140"/>
      <c r="P4" s="2"/>
      <c r="Q4" s="2"/>
      <c r="R4" s="2"/>
    </row>
    <row r="5" spans="1:70" s="1" customFormat="1" ht="18" customHeight="1" x14ac:dyDescent="0.3">
      <c r="A5" s="143"/>
      <c r="B5" s="160"/>
      <c r="C5" s="144" t="s">
        <v>113</v>
      </c>
      <c r="D5" s="141"/>
      <c r="E5" s="141"/>
      <c r="F5" s="141"/>
      <c r="G5" s="141"/>
      <c r="H5" s="141"/>
      <c r="I5" s="141"/>
      <c r="J5" s="5"/>
      <c r="K5" s="141"/>
      <c r="L5" s="141"/>
      <c r="M5" s="141"/>
      <c r="N5" s="141"/>
      <c r="O5" s="141"/>
      <c r="P5" s="141"/>
      <c r="Q5" s="2"/>
      <c r="R5" s="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8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70" ht="18" customHeight="1" x14ac:dyDescent="0.25">
      <c r="B7" s="8"/>
      <c r="C7" s="10" t="s">
        <v>133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70" ht="12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70" ht="18.75" x14ac:dyDescent="0.25">
      <c r="B9" s="8"/>
      <c r="C9" s="10" t="s">
        <v>135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70" ht="7.9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70" ht="18" x14ac:dyDescent="0.25">
      <c r="B11" s="11">
        <v>1.1000000000000001</v>
      </c>
      <c r="C11" s="8" t="s">
        <v>51</v>
      </c>
      <c r="D11" s="8"/>
      <c r="E11" s="8" t="s">
        <v>126</v>
      </c>
      <c r="F11" s="12"/>
      <c r="G11" s="8"/>
      <c r="H11" s="8"/>
      <c r="I11" s="8"/>
      <c r="J11" s="8"/>
      <c r="K11" s="8"/>
      <c r="L11" s="8"/>
      <c r="M11" s="8"/>
      <c r="N11" s="8"/>
    </row>
    <row r="12" spans="1:70" ht="18" x14ac:dyDescent="0.25">
      <c r="B12" s="11"/>
      <c r="C12" s="8"/>
      <c r="D12" s="8"/>
      <c r="E12" s="12"/>
      <c r="F12" s="12"/>
      <c r="G12" s="8"/>
      <c r="H12" s="8"/>
      <c r="I12" s="8"/>
      <c r="J12" s="8"/>
      <c r="K12" s="8"/>
      <c r="L12" s="8"/>
      <c r="M12" s="8"/>
      <c r="N12" s="8"/>
    </row>
    <row r="13" spans="1:70" ht="18.75" x14ac:dyDescent="0.25">
      <c r="B13" s="11"/>
      <c r="C13" s="10" t="s">
        <v>114</v>
      </c>
      <c r="D13" s="8"/>
      <c r="E13" s="12"/>
      <c r="F13" s="12"/>
      <c r="G13" s="8"/>
      <c r="H13" s="8"/>
      <c r="I13" s="8"/>
      <c r="J13" s="8"/>
      <c r="K13" s="8"/>
      <c r="L13" s="8"/>
      <c r="M13" s="8"/>
      <c r="N13" s="8"/>
    </row>
    <row r="14" spans="1:70" ht="7.9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70" ht="18" x14ac:dyDescent="0.25">
      <c r="B15" s="11">
        <v>2.1</v>
      </c>
      <c r="C15" s="8" t="s">
        <v>7</v>
      </c>
      <c r="D15" s="8"/>
      <c r="E15" s="12" t="s">
        <v>150</v>
      </c>
      <c r="F15" s="12"/>
      <c r="G15" s="8"/>
      <c r="H15" s="8"/>
      <c r="I15" s="8"/>
      <c r="J15" s="8"/>
      <c r="K15" s="8"/>
      <c r="L15" s="8"/>
      <c r="M15" s="8"/>
      <c r="N15" s="8"/>
    </row>
    <row r="16" spans="1:70" ht="18" x14ac:dyDescent="0.25">
      <c r="B16" s="11">
        <v>2.2000000000000002</v>
      </c>
      <c r="C16" s="8" t="s">
        <v>6</v>
      </c>
      <c r="D16" s="8"/>
      <c r="E16" s="12" t="s">
        <v>151</v>
      </c>
      <c r="F16" s="12"/>
      <c r="G16" s="8"/>
      <c r="H16" s="8"/>
      <c r="I16" s="8"/>
      <c r="J16" s="8"/>
      <c r="K16" s="8"/>
      <c r="L16" s="8"/>
      <c r="M16" s="8"/>
      <c r="N16" s="8"/>
    </row>
    <row r="17" spans="2:14" ht="15" customHeight="1" x14ac:dyDescent="0.25">
      <c r="B17" s="11">
        <v>2.2999999999999998</v>
      </c>
      <c r="C17" s="8" t="s">
        <v>100</v>
      </c>
      <c r="D17" s="8"/>
      <c r="E17" s="12" t="s">
        <v>152</v>
      </c>
      <c r="F17" s="12"/>
      <c r="G17" s="8"/>
      <c r="H17" s="8"/>
      <c r="I17" s="8"/>
      <c r="J17" s="8"/>
      <c r="K17" s="8"/>
      <c r="L17" s="8"/>
      <c r="M17" s="8"/>
      <c r="N17" s="8"/>
    </row>
    <row r="18" spans="2:14" ht="15" customHeight="1" x14ac:dyDescent="0.25">
      <c r="B18" s="11">
        <v>2.4</v>
      </c>
      <c r="C18" s="8" t="s">
        <v>101</v>
      </c>
      <c r="D18" s="8"/>
      <c r="E18" s="12" t="s">
        <v>153</v>
      </c>
      <c r="F18" s="12"/>
      <c r="G18" s="8"/>
      <c r="H18" s="8"/>
      <c r="I18" s="8"/>
      <c r="J18" s="8"/>
      <c r="K18" s="8"/>
      <c r="L18" s="8"/>
      <c r="M18" s="8"/>
      <c r="N18" s="8"/>
    </row>
    <row r="19" spans="2:14" ht="18" x14ac:dyDescent="0.25">
      <c r="B19" s="13"/>
      <c r="C19" s="8"/>
      <c r="D19" s="8"/>
      <c r="E19" s="8"/>
      <c r="F19" s="12"/>
      <c r="G19" s="8"/>
      <c r="H19" s="8"/>
      <c r="I19" s="8"/>
      <c r="J19" s="8"/>
      <c r="K19" s="8"/>
      <c r="L19" s="8"/>
      <c r="M19" s="8"/>
      <c r="N19" s="8"/>
    </row>
    <row r="20" spans="2:14" ht="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ht="18" x14ac:dyDescent="0.25">
      <c r="B21" s="1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ht="18" x14ac:dyDescent="0.25">
      <c r="B22" s="1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ht="18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ht="18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ht="18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</sheetData>
  <sheetProtection algorithmName="SHA-512" hashValue="e/EqCgoyF0ZYI9umGqpraxDIJ0kzD5QxknJr2e6zouNPg4Z932WhDpErg82PV/EKVe2KOMraZzNmsx+VG75OKg==" saltValue="TGce01wFORWx9cHLJ5MHZg==" spinCount="100000" sheet="1" objects="1" scenarios="1"/>
  <mergeCells count="1">
    <mergeCell ref="B1:B5"/>
  </mergeCells>
  <hyperlinks>
    <hyperlink ref="B15" location="'Insumos (I) '!A1" tooltip="Insumos (I)" display="'Insumos (I) '!A1" xr:uid="{00000000-0004-0000-0000-000000000000}"/>
    <hyperlink ref="B16" location="'Insumos (P) '!A1" tooltip="Insumos (P)" display="'Insumos (P) '!A1" xr:uid="{00000000-0004-0000-0000-000001000000}"/>
    <hyperlink ref="B11" location="'Cargos transmisión renovables'!A1" tooltip="Cargos transmisión renovables" display="'Cargos transmisión renovables'!A1" xr:uid="{00000000-0004-0000-0000-000002000000}"/>
    <hyperlink ref="B18" location="'Insumos (CFAC)'!A1" tooltip="Insumos (CFAC)" display="'Insumos (CFAC)'!A1" xr:uid="{00000000-0004-0000-0000-000003000000}"/>
    <hyperlink ref="B17" location="'Insumos (SC) '!A1" tooltip="Insumos (SC)" display="'Insumos (SC) '!A1" xr:uid="{00000000-0004-0000-0000-000004000000}"/>
  </hyperlink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3"/>
  </sheetPr>
  <dimension ref="A1:BM28"/>
  <sheetViews>
    <sheetView zoomScale="80" zoomScaleNormal="80" zoomScaleSheetLayoutView="120" workbookViewId="0">
      <selection activeCell="C11" sqref="C11"/>
    </sheetView>
  </sheetViews>
  <sheetFormatPr baseColWidth="10" defaultColWidth="11.5703125" defaultRowHeight="14.45" customHeight="1" x14ac:dyDescent="0.25"/>
  <cols>
    <col min="1" max="1" width="7.7109375" style="126" customWidth="1"/>
    <col min="2" max="7" width="25.7109375" style="126" customWidth="1"/>
    <col min="8" max="9" width="11.5703125" style="126" customWidth="1"/>
    <col min="10" max="10" width="11.5703125" style="125" customWidth="1"/>
    <col min="11" max="16384" width="11.5703125" style="125"/>
  </cols>
  <sheetData>
    <row r="1" spans="1:65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2"/>
      <c r="K1" s="2"/>
      <c r="L1" s="2"/>
      <c r="M1" s="2"/>
    </row>
    <row r="2" spans="1:65" s="1" customFormat="1" ht="22.15" customHeight="1" x14ac:dyDescent="0.25">
      <c r="B2" s="159"/>
      <c r="C2" s="142" t="s">
        <v>0</v>
      </c>
      <c r="H2" s="3"/>
      <c r="I2" s="3"/>
    </row>
    <row r="3" spans="1:65" s="1" customFormat="1" ht="22.15" customHeight="1" x14ac:dyDescent="0.25">
      <c r="B3" s="159"/>
      <c r="C3" s="142" t="s">
        <v>1</v>
      </c>
      <c r="H3" s="140"/>
      <c r="I3" s="140"/>
      <c r="J3" s="2"/>
      <c r="K3" s="2"/>
      <c r="L3" s="2"/>
      <c r="M3" s="2"/>
    </row>
    <row r="4" spans="1:65" s="1" customFormat="1" ht="6.6" customHeight="1" x14ac:dyDescent="0.25">
      <c r="B4" s="159"/>
      <c r="C4" s="140"/>
      <c r="H4" s="140"/>
      <c r="I4" s="140"/>
      <c r="J4" s="2"/>
      <c r="K4" s="2"/>
      <c r="L4" s="2"/>
      <c r="M4" s="2"/>
    </row>
    <row r="5" spans="1:65" s="1" customFormat="1" ht="18" customHeight="1" x14ac:dyDescent="0.3">
      <c r="A5" s="143"/>
      <c r="B5" s="160"/>
      <c r="C5" s="144" t="s">
        <v>127</v>
      </c>
      <c r="D5" s="141"/>
      <c r="E5" s="141"/>
      <c r="F5" s="141"/>
      <c r="G5" s="141"/>
      <c r="H5" s="141"/>
      <c r="I5" s="145" t="s">
        <v>10</v>
      </c>
      <c r="J5" s="2"/>
      <c r="K5" s="2"/>
      <c r="L5" s="2"/>
      <c r="M5" s="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7" spans="1:65" s="124" customFormat="1" ht="18" customHeight="1" x14ac:dyDescent="0.35">
      <c r="A7" s="123"/>
      <c r="B7" s="15" t="s">
        <v>154</v>
      </c>
      <c r="C7" s="16"/>
      <c r="D7" s="16"/>
      <c r="E7" s="16"/>
      <c r="F7" s="16"/>
      <c r="G7" s="16"/>
      <c r="H7" s="16"/>
      <c r="I7" s="16"/>
      <c r="J7" s="17"/>
      <c r="K7" s="17"/>
    </row>
    <row r="8" spans="1:65" ht="14.45" customHeight="1" x14ac:dyDescent="0.25">
      <c r="B8" s="127"/>
    </row>
    <row r="9" spans="1:65" s="22" customFormat="1" ht="35.450000000000003" customHeight="1" x14ac:dyDescent="0.25">
      <c r="A9" s="19"/>
      <c r="B9" s="146" t="s">
        <v>39</v>
      </c>
      <c r="C9" s="146" t="s">
        <v>71</v>
      </c>
      <c r="D9" s="146" t="s">
        <v>2</v>
      </c>
      <c r="E9" s="147" t="s">
        <v>136</v>
      </c>
      <c r="F9" s="147" t="s">
        <v>111</v>
      </c>
      <c r="G9" s="146" t="s">
        <v>99</v>
      </c>
      <c r="H9" s="23"/>
      <c r="I9" s="19"/>
    </row>
    <row r="10" spans="1:65" s="22" customFormat="1" ht="19.899999999999999" customHeight="1" x14ac:dyDescent="0.25">
      <c r="A10" s="19"/>
      <c r="B10" s="128" t="s">
        <v>4</v>
      </c>
      <c r="C10" s="132">
        <f>'Insumos (I) '!C10</f>
        <v>0.24168000000000001</v>
      </c>
      <c r="D10" s="132">
        <f>'Insumos (P) '!E10</f>
        <v>3.1480000000000001E-2</v>
      </c>
      <c r="E10" s="132">
        <f>'Insumos (SC) '!C10</f>
        <v>5.4000000000000003E-3</v>
      </c>
      <c r="F10" s="132">
        <f>'Insumos (CFAC)'!C10</f>
        <v>1.0000000000000001E-5</v>
      </c>
      <c r="G10" s="132">
        <f>SUM(C10:F10)</f>
        <v>0.27857000000000004</v>
      </c>
      <c r="H10" s="136"/>
      <c r="I10" s="45"/>
    </row>
    <row r="11" spans="1:65" s="22" customFormat="1" ht="19.899999999999999" customHeight="1" x14ac:dyDescent="0.25">
      <c r="A11" s="19"/>
      <c r="B11" s="128" t="s">
        <v>5</v>
      </c>
      <c r="C11" s="132">
        <f>'Insumos (I) '!C11</f>
        <v>0.23130999999999999</v>
      </c>
      <c r="D11" s="132">
        <f>'Insumos (P) '!E11</f>
        <v>2.5420000000000002E-2</v>
      </c>
      <c r="E11" s="132">
        <f>'Insumos (SC) '!C11</f>
        <v>0</v>
      </c>
      <c r="F11" s="132">
        <f>'Insumos (CFAC)'!C11</f>
        <v>1.92E-3</v>
      </c>
      <c r="G11" s="132">
        <f>SUM(C11:F11)</f>
        <v>0.25864999999999999</v>
      </c>
      <c r="H11" s="136"/>
      <c r="I11" s="45"/>
    </row>
    <row r="12" spans="1:65" s="22" customFormat="1" ht="19.899999999999999" customHeight="1" x14ac:dyDescent="0.25">
      <c r="A12" s="19"/>
      <c r="B12" s="128" t="s">
        <v>3</v>
      </c>
      <c r="C12" s="132">
        <f>'Insumos (I) '!C12</f>
        <v>0.70023000000000002</v>
      </c>
      <c r="D12" s="132">
        <f>'Insumos (P) '!E12</f>
        <v>0.15887999999999999</v>
      </c>
      <c r="E12" s="132">
        <f>'Insumos (SC) '!C12</f>
        <v>0</v>
      </c>
      <c r="F12" s="132">
        <f>'Insumos (CFAC)'!C12</f>
        <v>3.3730000000000003E-2</v>
      </c>
      <c r="G12" s="132">
        <f>SUM(C12:F12)</f>
        <v>0.89284000000000008</v>
      </c>
      <c r="H12" s="136"/>
      <c r="I12" s="45"/>
    </row>
    <row r="13" spans="1:65" ht="14.45" customHeight="1" x14ac:dyDescent="0.25">
      <c r="B13" s="105" t="s">
        <v>155</v>
      </c>
    </row>
    <row r="14" spans="1:65" ht="14.45" customHeight="1" x14ac:dyDescent="0.25">
      <c r="B14" s="129"/>
    </row>
    <row r="16" spans="1:65" ht="14.45" customHeight="1" x14ac:dyDescent="0.25">
      <c r="G16" s="134"/>
    </row>
    <row r="17" spans="3:7" ht="14.45" customHeight="1" x14ac:dyDescent="0.25">
      <c r="G17" s="134"/>
    </row>
    <row r="18" spans="3:7" ht="14.45" customHeight="1" x14ac:dyDescent="0.25">
      <c r="G18" s="134"/>
    </row>
    <row r="20" spans="3:7" ht="14.45" customHeight="1" x14ac:dyDescent="0.25">
      <c r="C20" s="130"/>
    </row>
    <row r="24" spans="3:7" ht="14.45" customHeight="1" x14ac:dyDescent="0.25">
      <c r="F24" s="131"/>
    </row>
    <row r="25" spans="3:7" ht="14.45" customHeight="1" x14ac:dyDescent="0.25">
      <c r="F25" s="131"/>
    </row>
    <row r="26" spans="3:7" ht="14.45" customHeight="1" x14ac:dyDescent="0.25">
      <c r="F26" s="131"/>
    </row>
    <row r="28" spans="3:7" ht="14.45" customHeight="1" x14ac:dyDescent="0.25">
      <c r="C28" s="130"/>
    </row>
  </sheetData>
  <sheetProtection algorithmName="SHA-512" hashValue="LbXBCd/U5kQfpGn2JuMm61PL6reNYfnxKaY4flrDOgVAgP4ENV1hfp/UhdhMCzD/tljVpvz1b/wt+LkXQfs7CQ==" saltValue="cxUxyqzJQTZfiZhFPRY9Pg==" spinCount="100000" sheet="1" objects="1" scenarios="1"/>
  <mergeCells count="1">
    <mergeCell ref="B1:B5"/>
  </mergeCells>
  <hyperlinks>
    <hyperlink ref="I5" location="Contenido!A1" tooltip="Regresar a contenido" display="Regresar" xr:uid="{00000000-0004-0000-0100-000000000000}"/>
  </hyperlinks>
  <pageMargins left="0.70866141732283472" right="0.70866141732283472" top="0.74803149606299213" bottom="0.74803149606299213" header="0.31496062992125984" footer="0.31496062992125984"/>
  <pageSetup scale="110" fitToWidth="0"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</sheetPr>
  <dimension ref="A1:BR111"/>
  <sheetViews>
    <sheetView zoomScale="80" zoomScaleNormal="80" zoomScaleSheetLayoutView="70" workbookViewId="0">
      <selection activeCell="C20" sqref="C20"/>
    </sheetView>
  </sheetViews>
  <sheetFormatPr baseColWidth="10" defaultColWidth="11.5703125" defaultRowHeight="14.45" customHeight="1" x14ac:dyDescent="0.25"/>
  <cols>
    <col min="1" max="1" width="7.7109375" style="19" customWidth="1"/>
    <col min="2" max="2" width="25.7109375" style="19" customWidth="1"/>
    <col min="3" max="7" width="20.7109375" style="19" customWidth="1"/>
    <col min="8" max="8" width="11.5703125" style="19" customWidth="1"/>
    <col min="9" max="9" width="11.5703125" style="19"/>
    <col min="10" max="10" width="13" style="19" bestFit="1" customWidth="1"/>
    <col min="11" max="11" width="11.5703125" style="19"/>
    <col min="12" max="14" width="11.5703125" style="19" customWidth="1"/>
    <col min="15" max="15" width="11.5703125" style="19"/>
    <col min="16" max="18" width="11.5703125" style="22" customWidth="1"/>
    <col min="19" max="16384" width="11.5703125" style="22"/>
  </cols>
  <sheetData>
    <row r="1" spans="1:70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2"/>
      <c r="Q1" s="2"/>
      <c r="R1" s="2"/>
    </row>
    <row r="2" spans="1:70" s="1" customFormat="1" ht="22.15" customHeight="1" x14ac:dyDescent="0.25">
      <c r="B2" s="159"/>
      <c r="C2" s="142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70" s="1" customFormat="1" ht="22.15" customHeight="1" x14ac:dyDescent="0.25">
      <c r="B3" s="159"/>
      <c r="C3" s="142" t="s">
        <v>1</v>
      </c>
      <c r="G3" s="140"/>
      <c r="H3" s="140"/>
      <c r="I3" s="140"/>
      <c r="J3" s="140"/>
      <c r="K3" s="140"/>
      <c r="L3" s="140"/>
      <c r="M3" s="140"/>
      <c r="N3" s="140"/>
      <c r="O3" s="140"/>
      <c r="P3" s="2"/>
      <c r="Q3" s="2"/>
      <c r="R3" s="2"/>
    </row>
    <row r="4" spans="1:70" s="1" customFormat="1" ht="6.6" customHeight="1" x14ac:dyDescent="0.25">
      <c r="B4" s="159"/>
      <c r="C4" s="140"/>
      <c r="G4" s="140"/>
      <c r="H4" s="140"/>
      <c r="I4" s="140"/>
      <c r="J4" s="140"/>
      <c r="K4" s="140"/>
      <c r="L4" s="140"/>
      <c r="M4" s="140"/>
      <c r="N4" s="140"/>
      <c r="O4" s="140"/>
      <c r="P4" s="2"/>
      <c r="Q4" s="2"/>
      <c r="R4" s="2"/>
    </row>
    <row r="5" spans="1:70" s="1" customFormat="1" ht="18" customHeight="1" x14ac:dyDescent="0.3">
      <c r="A5" s="143"/>
      <c r="B5" s="160"/>
      <c r="C5" s="144" t="s">
        <v>128</v>
      </c>
      <c r="D5" s="141"/>
      <c r="E5" s="141"/>
      <c r="F5" s="141"/>
      <c r="G5" s="141"/>
      <c r="H5" s="141"/>
      <c r="I5" s="141"/>
      <c r="J5" s="5"/>
      <c r="K5" s="141"/>
      <c r="L5" s="141"/>
      <c r="M5" s="141"/>
      <c r="N5" s="141"/>
      <c r="O5" s="145" t="s">
        <v>10</v>
      </c>
      <c r="P5" s="2"/>
      <c r="Q5" s="2"/>
      <c r="R5" s="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7" spans="1:70" s="1" customFormat="1" ht="18" customHeight="1" collapsed="1" x14ac:dyDescent="0.25">
      <c r="B7" s="15" t="s">
        <v>149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9" spans="1:70" ht="35.450000000000003" customHeight="1" x14ac:dyDescent="0.25">
      <c r="B9" s="146" t="s">
        <v>19</v>
      </c>
      <c r="C9" s="147" t="s">
        <v>105</v>
      </c>
      <c r="D9" s="23"/>
      <c r="E9" s="23"/>
      <c r="F9" s="21"/>
      <c r="G9" s="24"/>
      <c r="H9" s="24"/>
    </row>
    <row r="10" spans="1:70" ht="15" x14ac:dyDescent="0.25">
      <c r="B10" s="25" t="s">
        <v>4</v>
      </c>
      <c r="C10" s="132">
        <f>ROUND($C$47,5)</f>
        <v>0.24168000000000001</v>
      </c>
      <c r="D10" s="23"/>
      <c r="E10" s="23"/>
      <c r="F10" s="27"/>
      <c r="G10" s="28"/>
      <c r="H10" s="28"/>
      <c r="I10" s="28"/>
    </row>
    <row r="11" spans="1:70" ht="15" x14ac:dyDescent="0.25">
      <c r="B11" s="25" t="s">
        <v>5</v>
      </c>
      <c r="C11" s="132">
        <f>ROUND($C$73,5)</f>
        <v>0.23130999999999999</v>
      </c>
      <c r="D11" s="23"/>
      <c r="E11" s="23"/>
      <c r="F11" s="27"/>
      <c r="G11" s="28"/>
      <c r="H11" s="28"/>
      <c r="I11" s="28"/>
    </row>
    <row r="12" spans="1:70" ht="15" x14ac:dyDescent="0.25">
      <c r="B12" s="25" t="s">
        <v>3</v>
      </c>
      <c r="C12" s="132">
        <f>ROUND($C$98,5)</f>
        <v>0.70023000000000002</v>
      </c>
      <c r="D12" s="29"/>
      <c r="E12" s="29"/>
      <c r="F12" s="30"/>
      <c r="G12" s="28"/>
      <c r="H12" s="28"/>
      <c r="I12" s="28"/>
    </row>
    <row r="13" spans="1:70" ht="14.45" customHeight="1" x14ac:dyDescent="0.25">
      <c r="B13" s="31"/>
      <c r="G13" s="28"/>
      <c r="H13" s="28"/>
      <c r="I13" s="28"/>
    </row>
    <row r="14" spans="1:70" s="1" customFormat="1" ht="18" customHeight="1" collapsed="1" x14ac:dyDescent="0.25">
      <c r="B14" s="15" t="s">
        <v>119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7"/>
      <c r="R14" s="17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70" ht="14.45" customHeight="1" x14ac:dyDescent="0.25">
      <c r="B15" s="31"/>
      <c r="C15" s="21"/>
    </row>
    <row r="16" spans="1:70" s="1" customFormat="1" ht="18" customHeight="1" collapsed="1" x14ac:dyDescent="0.25">
      <c r="B16" s="32" t="s">
        <v>115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2:30" ht="14.45" customHeight="1" x14ac:dyDescent="0.25">
      <c r="B17" s="31"/>
      <c r="C17" s="21"/>
    </row>
    <row r="18" spans="2:30" ht="46.15" customHeight="1" x14ac:dyDescent="0.25">
      <c r="B18" s="147" t="s">
        <v>54</v>
      </c>
      <c r="C18" s="148" t="s">
        <v>79</v>
      </c>
      <c r="D18" s="147" t="s">
        <v>80</v>
      </c>
      <c r="E18" s="21"/>
    </row>
    <row r="19" spans="2:30" ht="15" x14ac:dyDescent="0.25">
      <c r="B19" s="34" t="s">
        <v>20</v>
      </c>
      <c r="C19" s="35">
        <v>6.9599999999999995E-2</v>
      </c>
      <c r="D19" s="35">
        <v>0.11490439348306086</v>
      </c>
      <c r="E19" s="21"/>
    </row>
    <row r="20" spans="2:30" ht="15" x14ac:dyDescent="0.25">
      <c r="B20" s="34" t="s">
        <v>21</v>
      </c>
      <c r="C20" s="35">
        <v>0.1585</v>
      </c>
      <c r="D20" s="35">
        <v>0.88509560651693897</v>
      </c>
      <c r="E20" s="21"/>
    </row>
    <row r="21" spans="2:30" ht="94.15" customHeight="1" x14ac:dyDescent="0.25">
      <c r="B21" s="149" t="s">
        <v>106</v>
      </c>
      <c r="C21" s="167">
        <f>SUMPRODUCT(C19:C20,D19:D20)</f>
        <v>0.14828499941935586</v>
      </c>
      <c r="D21" s="168"/>
      <c r="E21" s="21"/>
    </row>
    <row r="22" spans="2:30" ht="74.45" customHeight="1" x14ac:dyDescent="0.25">
      <c r="B22" s="162" t="s">
        <v>137</v>
      </c>
      <c r="C22" s="163"/>
      <c r="D22" s="163"/>
      <c r="E22" s="21"/>
    </row>
    <row r="23" spans="2:30" ht="14.45" customHeight="1" x14ac:dyDescent="0.25">
      <c r="C23" s="27"/>
      <c r="D23" s="21"/>
      <c r="E23" s="21"/>
    </row>
    <row r="24" spans="2:30" s="1" customFormat="1" ht="18" collapsed="1" x14ac:dyDescent="0.25">
      <c r="B24" s="32" t="s">
        <v>116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2:30" ht="14.45" customHeight="1" x14ac:dyDescent="0.25">
      <c r="B25" s="21"/>
      <c r="C25" s="27"/>
      <c r="D25" s="21"/>
      <c r="E25" s="21"/>
    </row>
    <row r="26" spans="2:30" ht="18" customHeight="1" x14ac:dyDescent="0.25">
      <c r="B26" s="164" t="s">
        <v>54</v>
      </c>
      <c r="C26" s="165" t="s">
        <v>79</v>
      </c>
      <c r="D26" s="164" t="s">
        <v>81</v>
      </c>
      <c r="E26" s="21"/>
    </row>
    <row r="27" spans="2:30" ht="26.45" customHeight="1" x14ac:dyDescent="0.25">
      <c r="B27" s="164"/>
      <c r="C27" s="165"/>
      <c r="D27" s="164"/>
      <c r="E27" s="21"/>
    </row>
    <row r="28" spans="2:30" ht="15" x14ac:dyDescent="0.25">
      <c r="B28" s="34" t="s">
        <v>20</v>
      </c>
      <c r="C28" s="35">
        <v>5.5300000000000002E-2</v>
      </c>
      <c r="D28" s="35">
        <v>0.38609757663087652</v>
      </c>
      <c r="E28" s="21"/>
    </row>
    <row r="29" spans="2:30" ht="15" x14ac:dyDescent="0.25">
      <c r="B29" s="34" t="s">
        <v>21</v>
      </c>
      <c r="C29" s="35">
        <v>0.1002</v>
      </c>
      <c r="D29" s="35">
        <v>0.61390242336912348</v>
      </c>
      <c r="E29" s="21"/>
    </row>
    <row r="30" spans="2:30" ht="93" customHeight="1" x14ac:dyDescent="0.25">
      <c r="B30" s="149" t="s">
        <v>107</v>
      </c>
      <c r="C30" s="167">
        <f>SUMPRODUCT(C28:C29,D28:D29)</f>
        <v>8.2864218809273651E-2</v>
      </c>
      <c r="D30" s="168"/>
      <c r="E30" s="21"/>
    </row>
    <row r="31" spans="2:30" ht="59.45" customHeight="1" x14ac:dyDescent="0.25">
      <c r="B31" s="162" t="s">
        <v>138</v>
      </c>
      <c r="C31" s="162"/>
      <c r="D31" s="163"/>
      <c r="E31" s="21"/>
    </row>
    <row r="32" spans="2:30" ht="14.45" customHeight="1" x14ac:dyDescent="0.25">
      <c r="B32" s="21"/>
      <c r="C32" s="36"/>
      <c r="D32" s="21"/>
      <c r="E32" s="21"/>
    </row>
    <row r="33" spans="2:30" s="1" customFormat="1" ht="18" collapsed="1" x14ac:dyDescent="0.25">
      <c r="B33" s="32" t="s">
        <v>117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0" ht="14.45" customHeight="1" x14ac:dyDescent="0.25">
      <c r="B34" s="21"/>
      <c r="C34" s="36"/>
      <c r="D34" s="21"/>
      <c r="E34" s="21"/>
    </row>
    <row r="35" spans="2:30" ht="14.45" customHeight="1" x14ac:dyDescent="0.25">
      <c r="B35" s="107" t="s">
        <v>66</v>
      </c>
      <c r="C35" s="106"/>
      <c r="D35" s="106"/>
      <c r="E35" s="106"/>
      <c r="F35" s="106"/>
      <c r="G35" s="106"/>
    </row>
    <row r="36" spans="2:30" ht="49.15" customHeight="1" x14ac:dyDescent="0.25">
      <c r="B36" s="147" t="s">
        <v>61</v>
      </c>
      <c r="C36" s="147" t="s">
        <v>68</v>
      </c>
      <c r="D36" s="147" t="s">
        <v>129</v>
      </c>
      <c r="E36" s="147" t="s">
        <v>62</v>
      </c>
      <c r="F36" s="147" t="s">
        <v>69</v>
      </c>
      <c r="G36" s="147" t="s">
        <v>70</v>
      </c>
    </row>
    <row r="37" spans="2:30" ht="14.45" customHeight="1" x14ac:dyDescent="0.25">
      <c r="B37" s="35" t="s">
        <v>63</v>
      </c>
      <c r="C37" s="108">
        <v>2.8643999999999998</v>
      </c>
      <c r="D37" s="108">
        <v>7.4863999999999997</v>
      </c>
      <c r="E37" s="109">
        <v>2</v>
      </c>
      <c r="F37" s="35">
        <f>(E37/12)*$C37</f>
        <v>0.47739999999999994</v>
      </c>
      <c r="G37" s="35">
        <f>(E37/12)*$D37</f>
        <v>1.2477333333333331</v>
      </c>
      <c r="I37" s="135"/>
      <c r="J37" s="135"/>
      <c r="K37" s="45"/>
    </row>
    <row r="38" spans="2:30" ht="14.45" customHeight="1" x14ac:dyDescent="0.25">
      <c r="B38" s="35" t="s">
        <v>64</v>
      </c>
      <c r="C38" s="108">
        <v>2.3613</v>
      </c>
      <c r="D38" s="108">
        <v>6.1185999999999998</v>
      </c>
      <c r="E38" s="109">
        <v>5</v>
      </c>
      <c r="F38" s="35">
        <f>(E38/12)*$C38</f>
        <v>0.98387500000000006</v>
      </c>
      <c r="G38" s="35">
        <f>(E38/12)*$D38</f>
        <v>2.5494166666666667</v>
      </c>
      <c r="I38" s="135"/>
      <c r="J38" s="135"/>
    </row>
    <row r="39" spans="2:30" ht="14.45" customHeight="1" x14ac:dyDescent="0.25">
      <c r="B39" s="35" t="s">
        <v>65</v>
      </c>
      <c r="C39" s="108">
        <v>3.5186999999999999</v>
      </c>
      <c r="D39" s="108">
        <v>9.1257000000000001</v>
      </c>
      <c r="E39" s="109">
        <v>5</v>
      </c>
      <c r="F39" s="35">
        <f>(E39/12)*$C39</f>
        <v>1.4661250000000001</v>
      </c>
      <c r="G39" s="35">
        <f>(E39/12)*$D39</f>
        <v>3.8023750000000001</v>
      </c>
      <c r="I39" s="135"/>
      <c r="J39" s="135"/>
    </row>
    <row r="40" spans="2:30" ht="30" customHeight="1" x14ac:dyDescent="0.25">
      <c r="B40" s="31"/>
      <c r="C40" s="21"/>
      <c r="D40" s="21"/>
      <c r="E40" s="147" t="s">
        <v>67</v>
      </c>
      <c r="F40" s="100">
        <f>ROUND(SUM(F37:F39),4)</f>
        <v>2.9274</v>
      </c>
      <c r="G40" s="100">
        <f>ROUND(SUM(G37:G39),4)</f>
        <v>7.5994999999999999</v>
      </c>
      <c r="I40" s="135"/>
      <c r="J40" s="135"/>
    </row>
    <row r="41" spans="2:30" ht="14.45" customHeight="1" x14ac:dyDescent="0.25">
      <c r="B41" s="31"/>
      <c r="C41" s="21"/>
      <c r="D41" s="21"/>
      <c r="E41" s="21"/>
    </row>
    <row r="42" spans="2:30" ht="28.15" customHeight="1" x14ac:dyDescent="0.25">
      <c r="B42" s="147" t="s">
        <v>49</v>
      </c>
      <c r="C42" s="147" t="s">
        <v>47</v>
      </c>
      <c r="D42" s="21"/>
      <c r="E42" s="21"/>
      <c r="F42" s="45"/>
      <c r="G42" s="45"/>
    </row>
    <row r="43" spans="2:30" ht="28.9" customHeight="1" x14ac:dyDescent="0.25">
      <c r="B43" s="99" t="s">
        <v>92</v>
      </c>
      <c r="C43" s="35">
        <f>F40/1000</f>
        <v>2.9274000000000001E-3</v>
      </c>
      <c r="D43" s="21"/>
      <c r="E43" s="27"/>
      <c r="F43" s="45"/>
      <c r="G43" s="27"/>
    </row>
    <row r="44" spans="2:30" ht="34.9" customHeight="1" x14ac:dyDescent="0.25">
      <c r="B44" s="99" t="s">
        <v>93</v>
      </c>
      <c r="C44" s="35">
        <f>G40/1000</f>
        <v>7.5995000000000004E-3</v>
      </c>
      <c r="D44" s="27"/>
      <c r="E44" s="21"/>
      <c r="G44" s="27"/>
    </row>
    <row r="45" spans="2:30" ht="46.9" customHeight="1" x14ac:dyDescent="0.25">
      <c r="B45" s="166" t="s">
        <v>102</v>
      </c>
      <c r="C45" s="166"/>
      <c r="D45" s="27"/>
      <c r="E45" s="21"/>
      <c r="G45" s="27"/>
    </row>
    <row r="47" spans="2:30" ht="49.9" customHeight="1" x14ac:dyDescent="0.25">
      <c r="B47" s="150" t="s">
        <v>104</v>
      </c>
      <c r="C47" s="132">
        <f>$C$21+$C$30+$C$43+$C$44</f>
        <v>0.2416761182286295</v>
      </c>
    </row>
    <row r="49" spans="2:30" s="1" customFormat="1" ht="18" customHeight="1" collapsed="1" x14ac:dyDescent="0.25">
      <c r="B49" s="15" t="s">
        <v>118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7"/>
      <c r="R49" s="17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2:30" ht="14.45" customHeight="1" x14ac:dyDescent="0.25">
      <c r="B50" s="31"/>
    </row>
    <row r="51" spans="2:30" ht="51.6" customHeight="1" x14ac:dyDescent="0.25">
      <c r="B51" s="147" t="s">
        <v>42</v>
      </c>
      <c r="C51" s="147" t="s">
        <v>156</v>
      </c>
      <c r="D51" s="147" t="s">
        <v>82</v>
      </c>
      <c r="E51" s="147" t="s">
        <v>58</v>
      </c>
      <c r="F51" s="37"/>
      <c r="G51" s="37"/>
      <c r="H51" s="37"/>
      <c r="I51" s="37"/>
      <c r="J51" s="37"/>
      <c r="K51" s="38"/>
      <c r="L51" s="39"/>
    </row>
    <row r="52" spans="2:30" ht="15" customHeight="1" x14ac:dyDescent="0.25">
      <c r="B52" s="34" t="s">
        <v>23</v>
      </c>
      <c r="C52" s="40">
        <v>83.98</v>
      </c>
      <c r="D52" s="41">
        <v>5985.6160220000002</v>
      </c>
      <c r="E52" s="42">
        <f t="shared" ref="E52:E67" si="0">D52/$D$68</f>
        <v>6.8345855212516723E-2</v>
      </c>
      <c r="F52" s="43"/>
      <c r="G52" s="43"/>
      <c r="H52" s="43"/>
      <c r="I52" s="43"/>
      <c r="J52" s="43"/>
      <c r="K52" s="43"/>
      <c r="L52" s="39"/>
      <c r="M52" s="39"/>
    </row>
    <row r="53" spans="2:30" ht="15" customHeight="1" x14ac:dyDescent="0.25">
      <c r="B53" s="34" t="s">
        <v>24</v>
      </c>
      <c r="C53" s="40">
        <v>90.16</v>
      </c>
      <c r="D53" s="41">
        <v>10239.071649</v>
      </c>
      <c r="E53" s="42">
        <f t="shared" si="0"/>
        <v>0.11691329778940818</v>
      </c>
      <c r="F53" s="43"/>
      <c r="G53" s="43"/>
      <c r="H53" s="43"/>
      <c r="I53" s="43"/>
      <c r="J53" s="43"/>
      <c r="K53" s="43"/>
    </row>
    <row r="54" spans="2:30" ht="15" customHeight="1" x14ac:dyDescent="0.25">
      <c r="B54" s="34" t="s">
        <v>25</v>
      </c>
      <c r="C54" s="40">
        <v>142.82</v>
      </c>
      <c r="D54" s="41">
        <v>2323.260311</v>
      </c>
      <c r="E54" s="42">
        <f t="shared" si="0"/>
        <v>2.652779801660865E-2</v>
      </c>
      <c r="F54" s="43"/>
      <c r="G54" s="43"/>
      <c r="H54" s="43"/>
      <c r="I54" s="43"/>
      <c r="J54" s="43"/>
      <c r="K54" s="43"/>
    </row>
    <row r="55" spans="2:30" ht="15" customHeight="1" x14ac:dyDescent="0.25">
      <c r="B55" s="34" t="s">
        <v>26</v>
      </c>
      <c r="C55" s="40">
        <v>139.09</v>
      </c>
      <c r="D55" s="41">
        <v>5086.967361</v>
      </c>
      <c r="E55" s="42">
        <f t="shared" si="0"/>
        <v>5.8084770798500829E-2</v>
      </c>
      <c r="F55" s="43"/>
      <c r="G55" s="43"/>
      <c r="H55" s="43"/>
      <c r="I55" s="43"/>
      <c r="J55" s="43"/>
      <c r="K55" s="43"/>
    </row>
    <row r="56" spans="2:30" ht="15" customHeight="1" x14ac:dyDescent="0.25">
      <c r="B56" s="34" t="s">
        <v>27</v>
      </c>
      <c r="C56" s="40">
        <v>205.59</v>
      </c>
      <c r="D56" s="41">
        <v>2383.76973</v>
      </c>
      <c r="E56" s="42">
        <f t="shared" si="0"/>
        <v>2.7218715705743291E-2</v>
      </c>
      <c r="F56" s="43"/>
      <c r="G56" s="43"/>
      <c r="H56" s="43"/>
      <c r="I56" s="43"/>
      <c r="J56" s="43"/>
      <c r="K56" s="43"/>
    </row>
    <row r="57" spans="2:30" ht="15" customHeight="1" x14ac:dyDescent="0.25">
      <c r="B57" s="34" t="s">
        <v>28</v>
      </c>
      <c r="C57" s="40">
        <v>114.82</v>
      </c>
      <c r="D57" s="41">
        <v>2935.654106</v>
      </c>
      <c r="E57" s="42">
        <f t="shared" si="0"/>
        <v>3.3520324348447858E-2</v>
      </c>
      <c r="F57" s="43"/>
      <c r="G57" s="43"/>
      <c r="H57" s="43"/>
      <c r="I57" s="43"/>
      <c r="J57" s="43"/>
      <c r="K57" s="43"/>
    </row>
    <row r="58" spans="2:30" ht="15" customHeight="1" x14ac:dyDescent="0.25">
      <c r="B58" s="34" t="s">
        <v>29</v>
      </c>
      <c r="C58" s="40">
        <v>53.64</v>
      </c>
      <c r="D58" s="41">
        <v>14637.474361</v>
      </c>
      <c r="E58" s="42">
        <f t="shared" si="0"/>
        <v>0.16713579682974053</v>
      </c>
      <c r="F58" s="43"/>
      <c r="G58" s="43"/>
      <c r="H58" s="43"/>
      <c r="I58" s="43"/>
      <c r="J58" s="43"/>
      <c r="K58" s="43"/>
    </row>
    <row r="59" spans="2:30" ht="15" customHeight="1" x14ac:dyDescent="0.25">
      <c r="B59" s="34" t="s">
        <v>30</v>
      </c>
      <c r="C59" s="40">
        <v>148.5</v>
      </c>
      <c r="D59" s="41">
        <v>6279.0976110000001</v>
      </c>
      <c r="E59" s="42">
        <f t="shared" si="0"/>
        <v>7.169693054304406E-2</v>
      </c>
      <c r="F59" s="43"/>
      <c r="G59" s="43"/>
      <c r="H59" s="43"/>
      <c r="I59" s="43"/>
      <c r="J59" s="43"/>
      <c r="K59" s="43"/>
    </row>
    <row r="60" spans="2:30" ht="15" customHeight="1" x14ac:dyDescent="0.25">
      <c r="B60" s="34" t="s">
        <v>31</v>
      </c>
      <c r="C60" s="40">
        <v>84.16</v>
      </c>
      <c r="D60" s="41">
        <v>5841.4443779999992</v>
      </c>
      <c r="E60" s="42">
        <f t="shared" si="0"/>
        <v>6.6699653005365761E-2</v>
      </c>
      <c r="F60" s="43"/>
      <c r="G60" s="43"/>
      <c r="H60" s="43"/>
      <c r="I60" s="43"/>
      <c r="J60" s="43"/>
      <c r="K60" s="43"/>
    </row>
    <row r="61" spans="2:30" ht="15" customHeight="1" x14ac:dyDescent="0.25">
      <c r="B61" s="34" t="s">
        <v>32</v>
      </c>
      <c r="C61" s="40">
        <v>68.83</v>
      </c>
      <c r="D61" s="41">
        <v>7231.8716589999995</v>
      </c>
      <c r="E61" s="42">
        <f t="shared" si="0"/>
        <v>8.2576037538132127E-2</v>
      </c>
      <c r="F61" s="43"/>
      <c r="G61" s="43"/>
      <c r="H61" s="43"/>
      <c r="I61" s="43"/>
      <c r="J61" s="43"/>
      <c r="K61" s="43"/>
    </row>
    <row r="62" spans="2:30" ht="15" customHeight="1" x14ac:dyDescent="0.25">
      <c r="B62" s="34" t="s">
        <v>33</v>
      </c>
      <c r="C62" s="40">
        <v>189.25</v>
      </c>
      <c r="D62" s="41">
        <v>2782.1782459999999</v>
      </c>
      <c r="E62" s="42">
        <f t="shared" si="0"/>
        <v>3.1767883351961818E-2</v>
      </c>
      <c r="F62" s="43"/>
      <c r="G62" s="43"/>
      <c r="H62" s="43"/>
      <c r="I62" s="43"/>
      <c r="J62" s="43"/>
      <c r="K62" s="43"/>
    </row>
    <row r="63" spans="2:30" ht="15" customHeight="1" x14ac:dyDescent="0.25">
      <c r="B63" s="34" t="s">
        <v>34</v>
      </c>
      <c r="C63" s="40">
        <v>84.18</v>
      </c>
      <c r="D63" s="41">
        <v>4925.0008139999991</v>
      </c>
      <c r="E63" s="42">
        <f t="shared" si="0"/>
        <v>5.6235380171062187E-2</v>
      </c>
      <c r="F63" s="43"/>
      <c r="G63" s="43"/>
      <c r="H63" s="43"/>
      <c r="I63" s="43"/>
      <c r="J63" s="43"/>
      <c r="K63" s="43"/>
    </row>
    <row r="64" spans="2:30" ht="15" customHeight="1" x14ac:dyDescent="0.25">
      <c r="B64" s="34" t="s">
        <v>35</v>
      </c>
      <c r="C64" s="40">
        <v>134.22</v>
      </c>
      <c r="D64" s="41">
        <v>2252.465913</v>
      </c>
      <c r="E64" s="42">
        <f t="shared" si="0"/>
        <v>2.5719442843510097E-2</v>
      </c>
      <c r="F64" s="43"/>
      <c r="G64" s="43"/>
      <c r="H64" s="43"/>
      <c r="I64" s="43"/>
      <c r="J64" s="43"/>
      <c r="K64" s="43"/>
    </row>
    <row r="65" spans="2:30" ht="15" customHeight="1" x14ac:dyDescent="0.25">
      <c r="B65" s="34" t="s">
        <v>36</v>
      </c>
      <c r="C65" s="40">
        <v>58.56</v>
      </c>
      <c r="D65" s="41">
        <v>3978.9889979999994</v>
      </c>
      <c r="E65" s="42">
        <f t="shared" si="0"/>
        <v>4.5433486703785914E-2</v>
      </c>
      <c r="F65" s="43"/>
      <c r="G65" s="43"/>
      <c r="H65" s="43"/>
      <c r="I65" s="43"/>
      <c r="J65" s="43"/>
      <c r="K65" s="43"/>
    </row>
    <row r="66" spans="2:30" ht="15" customHeight="1" x14ac:dyDescent="0.25">
      <c r="B66" s="34" t="s">
        <v>37</v>
      </c>
      <c r="C66" s="40">
        <v>84.34</v>
      </c>
      <c r="D66" s="41">
        <v>5525.9536840000001</v>
      </c>
      <c r="E66" s="42">
        <f t="shared" si="0"/>
        <v>6.3097270023602825E-2</v>
      </c>
      <c r="F66" s="43"/>
      <c r="G66" s="43"/>
      <c r="H66" s="43"/>
      <c r="I66" s="43"/>
      <c r="J66" s="43"/>
      <c r="K66" s="43"/>
    </row>
    <row r="67" spans="2:30" ht="15" customHeight="1" x14ac:dyDescent="0.25">
      <c r="B67" s="34" t="s">
        <v>38</v>
      </c>
      <c r="C67" s="40">
        <v>65.67</v>
      </c>
      <c r="D67" s="41">
        <v>5169.5174990000005</v>
      </c>
      <c r="E67" s="42">
        <f t="shared" si="0"/>
        <v>5.9027357118569539E-2</v>
      </c>
      <c r="F67" s="43"/>
      <c r="G67" s="43"/>
      <c r="H67" s="43"/>
      <c r="I67" s="43"/>
      <c r="J67" s="43"/>
      <c r="K67" s="43"/>
    </row>
    <row r="68" spans="2:30" ht="15" customHeight="1" x14ac:dyDescent="0.25">
      <c r="B68" s="151" t="s">
        <v>22</v>
      </c>
      <c r="C68" s="152"/>
      <c r="D68" s="153">
        <f>SUM(D52:D67)</f>
        <v>87578.332341999965</v>
      </c>
      <c r="E68" s="154">
        <f>SUM(E52:E67)</f>
        <v>1.0000000000000004</v>
      </c>
      <c r="F68" s="44"/>
      <c r="G68" s="23"/>
      <c r="J68" s="43"/>
    </row>
    <row r="69" spans="2:30" ht="58.15" customHeight="1" x14ac:dyDescent="0.25">
      <c r="B69" s="162" t="s">
        <v>139</v>
      </c>
      <c r="C69" s="162"/>
      <c r="D69" s="162"/>
      <c r="E69" s="162"/>
      <c r="H69" s="45"/>
    </row>
    <row r="70" spans="2:30" ht="15" customHeight="1" x14ac:dyDescent="0.25">
      <c r="B70" s="46"/>
      <c r="C70" s="47"/>
      <c r="D70" s="47"/>
    </row>
    <row r="71" spans="2:30" ht="43.15" customHeight="1" x14ac:dyDescent="0.3">
      <c r="B71" s="150" t="s">
        <v>55</v>
      </c>
      <c r="C71" s="139">
        <f>(8760/12)</f>
        <v>730</v>
      </c>
      <c r="D71" s="48"/>
      <c r="E71" s="22"/>
      <c r="F71" s="22"/>
    </row>
    <row r="72" spans="2:30" ht="43.15" customHeight="1" x14ac:dyDescent="0.3">
      <c r="B72" s="155" t="s">
        <v>83</v>
      </c>
      <c r="C72" s="49">
        <v>0.56000000000000005</v>
      </c>
      <c r="D72" s="48"/>
      <c r="E72" s="50"/>
      <c r="F72" s="51"/>
    </row>
    <row r="73" spans="2:30" ht="55.15" customHeight="1" x14ac:dyDescent="0.25">
      <c r="B73" s="150" t="s">
        <v>103</v>
      </c>
      <c r="C73" s="132">
        <f>(SUMPRODUCT(C52:C67,E52:E67))/(C71*C72)</f>
        <v>0.23130839786495683</v>
      </c>
      <c r="D73" s="52"/>
      <c r="E73" s="53"/>
      <c r="F73" s="54"/>
      <c r="G73" s="55"/>
    </row>
    <row r="74" spans="2:30" ht="49.15" customHeight="1" x14ac:dyDescent="0.25">
      <c r="B74" s="162" t="s">
        <v>84</v>
      </c>
      <c r="C74" s="162"/>
      <c r="D74" s="52"/>
      <c r="E74" s="56"/>
      <c r="F74" s="56"/>
      <c r="G74" s="56"/>
    </row>
    <row r="75" spans="2:30" ht="14.45" customHeight="1" x14ac:dyDescent="0.25">
      <c r="B75" s="31"/>
    </row>
    <row r="76" spans="2:30" s="1" customFormat="1" ht="18" customHeight="1" collapsed="1" x14ac:dyDescent="0.25">
      <c r="B76" s="15" t="s">
        <v>120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7"/>
      <c r="R76" s="17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2:30" ht="14.45" customHeight="1" x14ac:dyDescent="0.25">
      <c r="B77" s="31"/>
      <c r="D77" s="21"/>
    </row>
    <row r="78" spans="2:30" ht="54" customHeight="1" x14ac:dyDescent="0.25">
      <c r="B78" s="147" t="s">
        <v>42</v>
      </c>
      <c r="C78" s="147" t="s">
        <v>157</v>
      </c>
      <c r="D78" s="147" t="s">
        <v>82</v>
      </c>
      <c r="E78" s="147" t="s">
        <v>58</v>
      </c>
      <c r="F78" s="37"/>
      <c r="G78" s="37"/>
      <c r="H78" s="37"/>
      <c r="I78" s="38"/>
      <c r="J78" s="37"/>
      <c r="K78" s="38"/>
      <c r="L78" s="57"/>
    </row>
    <row r="79" spans="2:30" ht="15" customHeight="1" x14ac:dyDescent="0.25">
      <c r="B79" s="34" t="s">
        <v>23</v>
      </c>
      <c r="C79" s="35">
        <v>0.625</v>
      </c>
      <c r="D79" s="58">
        <v>780.93625600000007</v>
      </c>
      <c r="E79" s="42">
        <f t="shared" ref="E79:E94" si="1">D79/$D$95</f>
        <v>5.67286228438258E-2</v>
      </c>
      <c r="F79" s="59"/>
      <c r="G79" s="39"/>
      <c r="H79" s="59"/>
      <c r="I79" s="43"/>
      <c r="J79" s="39"/>
      <c r="K79" s="60"/>
      <c r="L79" s="60"/>
    </row>
    <row r="80" spans="2:30" ht="15" customHeight="1" x14ac:dyDescent="0.25">
      <c r="B80" s="34" t="s">
        <v>24</v>
      </c>
      <c r="C80" s="35">
        <v>0.85860000000000003</v>
      </c>
      <c r="D80" s="58">
        <v>1276.1250070000001</v>
      </c>
      <c r="E80" s="42">
        <f t="shared" si="1"/>
        <v>9.2700029826349312E-2</v>
      </c>
      <c r="F80" s="59"/>
      <c r="G80" s="39"/>
      <c r="H80" s="59"/>
      <c r="I80" s="43"/>
      <c r="J80" s="39"/>
      <c r="K80" s="60"/>
      <c r="L80" s="60"/>
    </row>
    <row r="81" spans="2:13" ht="15" customHeight="1" x14ac:dyDescent="0.25">
      <c r="B81" s="34" t="s">
        <v>25</v>
      </c>
      <c r="C81" s="35">
        <v>1.1529</v>
      </c>
      <c r="D81" s="58">
        <v>693.84940700000016</v>
      </c>
      <c r="E81" s="42">
        <f t="shared" si="1"/>
        <v>5.040247653723378E-2</v>
      </c>
      <c r="F81" s="59"/>
      <c r="G81" s="39"/>
      <c r="H81" s="59"/>
      <c r="I81" s="43"/>
      <c r="J81" s="39"/>
      <c r="K81" s="60"/>
      <c r="L81" s="60"/>
    </row>
    <row r="82" spans="2:13" ht="15" customHeight="1" x14ac:dyDescent="0.25">
      <c r="B82" s="34" t="s">
        <v>26</v>
      </c>
      <c r="C82" s="35">
        <v>1.0861000000000001</v>
      </c>
      <c r="D82" s="58">
        <v>871.34106399999996</v>
      </c>
      <c r="E82" s="42">
        <f t="shared" si="1"/>
        <v>6.3295791696465778E-2</v>
      </c>
      <c r="F82" s="59"/>
      <c r="G82" s="39"/>
      <c r="H82" s="59"/>
      <c r="I82" s="43"/>
      <c r="J82" s="39"/>
      <c r="K82" s="60"/>
      <c r="L82" s="60"/>
      <c r="M82" s="61"/>
    </row>
    <row r="83" spans="2:13" ht="15" customHeight="1" x14ac:dyDescent="0.25">
      <c r="B83" s="34" t="s">
        <v>27</v>
      </c>
      <c r="C83" s="35">
        <v>1.2246999999999999</v>
      </c>
      <c r="D83" s="58">
        <v>651.49509599999999</v>
      </c>
      <c r="E83" s="42">
        <f t="shared" si="1"/>
        <v>4.732578274043673E-2</v>
      </c>
      <c r="F83" s="59"/>
      <c r="G83" s="39"/>
      <c r="H83" s="59"/>
      <c r="I83" s="43"/>
      <c r="J83" s="39"/>
      <c r="K83" s="60"/>
      <c r="L83" s="60"/>
      <c r="M83" s="61"/>
    </row>
    <row r="84" spans="2:13" ht="15" customHeight="1" x14ac:dyDescent="0.25">
      <c r="B84" s="34" t="s">
        <v>28</v>
      </c>
      <c r="C84" s="35">
        <v>1.032</v>
      </c>
      <c r="D84" s="58">
        <v>496.38600000000008</v>
      </c>
      <c r="E84" s="42">
        <f t="shared" si="1"/>
        <v>3.605837731646476E-2</v>
      </c>
      <c r="F84" s="59"/>
      <c r="G84" s="39"/>
      <c r="H84" s="59"/>
      <c r="I84" s="43"/>
      <c r="J84" s="39"/>
      <c r="K84" s="60"/>
      <c r="L84" s="60"/>
    </row>
    <row r="85" spans="2:13" ht="15" customHeight="1" x14ac:dyDescent="0.25">
      <c r="B85" s="34" t="s">
        <v>29</v>
      </c>
      <c r="C85" s="35">
        <v>0.75449999999999995</v>
      </c>
      <c r="D85" s="58">
        <v>967.64423600000021</v>
      </c>
      <c r="E85" s="42">
        <f t="shared" si="1"/>
        <v>7.0291428383939661E-2</v>
      </c>
      <c r="F85" s="59"/>
      <c r="G85" s="39"/>
      <c r="H85" s="59"/>
      <c r="I85" s="43"/>
      <c r="J85" s="39"/>
      <c r="K85" s="60"/>
      <c r="L85" s="60"/>
    </row>
    <row r="86" spans="2:13" ht="15" customHeight="1" x14ac:dyDescent="0.25">
      <c r="B86" s="34" t="s">
        <v>30</v>
      </c>
      <c r="C86" s="35">
        <v>1.2396</v>
      </c>
      <c r="D86" s="58">
        <v>1247.8696179999999</v>
      </c>
      <c r="E86" s="42">
        <f t="shared" si="1"/>
        <v>9.064750723750617E-2</v>
      </c>
      <c r="F86" s="59"/>
      <c r="G86" s="39"/>
      <c r="H86" s="59"/>
      <c r="I86" s="43"/>
      <c r="J86" s="39"/>
      <c r="K86" s="60"/>
      <c r="L86" s="60"/>
    </row>
    <row r="87" spans="2:13" ht="15" customHeight="1" x14ac:dyDescent="0.25">
      <c r="B87" s="34" t="s">
        <v>31</v>
      </c>
      <c r="C87" s="35">
        <v>0.71809999999999996</v>
      </c>
      <c r="D87" s="58">
        <v>895.00954100000001</v>
      </c>
      <c r="E87" s="42">
        <f t="shared" si="1"/>
        <v>6.501511269700179E-2</v>
      </c>
      <c r="F87" s="59"/>
      <c r="G87" s="39"/>
      <c r="H87" s="59"/>
      <c r="I87" s="43"/>
      <c r="J87" s="39"/>
      <c r="K87" s="60"/>
      <c r="L87" s="60"/>
    </row>
    <row r="88" spans="2:13" ht="15" customHeight="1" x14ac:dyDescent="0.25">
      <c r="B88" s="34" t="s">
        <v>32</v>
      </c>
      <c r="C88" s="35">
        <v>1.202</v>
      </c>
      <c r="D88" s="58">
        <v>620.54072699999995</v>
      </c>
      <c r="E88" s="42">
        <f t="shared" si="1"/>
        <v>4.5077201360230433E-2</v>
      </c>
      <c r="F88" s="59"/>
      <c r="G88" s="39"/>
      <c r="H88" s="59"/>
      <c r="I88" s="43"/>
      <c r="J88" s="39"/>
      <c r="K88" s="60"/>
      <c r="L88" s="60"/>
    </row>
    <row r="89" spans="2:13" ht="15" customHeight="1" x14ac:dyDescent="0.25">
      <c r="B89" s="34" t="s">
        <v>33</v>
      </c>
      <c r="C89" s="35">
        <v>1.1904999999999999</v>
      </c>
      <c r="D89" s="58">
        <v>776.42488500000002</v>
      </c>
      <c r="E89" s="42">
        <f t="shared" si="1"/>
        <v>5.6400908690460154E-2</v>
      </c>
      <c r="F89" s="59"/>
      <c r="G89" s="39"/>
      <c r="H89" s="59"/>
      <c r="I89" s="43"/>
      <c r="J89" s="39"/>
      <c r="K89" s="60"/>
      <c r="L89" s="60"/>
    </row>
    <row r="90" spans="2:13" ht="15" customHeight="1" x14ac:dyDescent="0.25">
      <c r="B90" s="34" t="s">
        <v>34</v>
      </c>
      <c r="C90" s="35">
        <v>0.91080000000000005</v>
      </c>
      <c r="D90" s="58">
        <v>789.30796400000008</v>
      </c>
      <c r="E90" s="42">
        <f t="shared" si="1"/>
        <v>5.7336758862664504E-2</v>
      </c>
      <c r="F90" s="59"/>
      <c r="G90" s="39"/>
      <c r="H90" s="59"/>
      <c r="I90" s="43"/>
      <c r="J90" s="39"/>
      <c r="K90" s="60"/>
      <c r="L90" s="60"/>
    </row>
    <row r="91" spans="2:13" ht="15" customHeight="1" x14ac:dyDescent="0.25">
      <c r="B91" s="34" t="s">
        <v>35</v>
      </c>
      <c r="C91" s="35">
        <v>1.0543</v>
      </c>
      <c r="D91" s="58">
        <v>913.82638999999995</v>
      </c>
      <c r="E91" s="42">
        <f t="shared" si="1"/>
        <v>6.638200265995188E-2</v>
      </c>
      <c r="F91" s="59"/>
      <c r="G91" s="39"/>
      <c r="H91" s="59"/>
      <c r="I91" s="43"/>
      <c r="J91" s="39"/>
      <c r="K91" s="60"/>
      <c r="L91" s="60"/>
    </row>
    <row r="92" spans="2:13" ht="15" customHeight="1" x14ac:dyDescent="0.25">
      <c r="B92" s="34" t="s">
        <v>36</v>
      </c>
      <c r="C92" s="35">
        <v>0.59099999999999997</v>
      </c>
      <c r="D92" s="58">
        <v>1149.3749270000001</v>
      </c>
      <c r="E92" s="42">
        <f t="shared" si="1"/>
        <v>8.3492674644027293E-2</v>
      </c>
      <c r="F92" s="59"/>
      <c r="G92" s="39"/>
      <c r="H92" s="59"/>
      <c r="I92" s="43"/>
      <c r="J92" s="39"/>
      <c r="K92" s="60"/>
      <c r="L92" s="60"/>
    </row>
    <row r="93" spans="2:13" ht="15" customHeight="1" x14ac:dyDescent="0.25">
      <c r="B93" s="34" t="s">
        <v>37</v>
      </c>
      <c r="C93" s="35">
        <v>0.76900000000000002</v>
      </c>
      <c r="D93" s="58">
        <v>767.09328499999992</v>
      </c>
      <c r="E93" s="42">
        <f t="shared" si="1"/>
        <v>5.5723044379689252E-2</v>
      </c>
      <c r="F93" s="59"/>
      <c r="G93" s="39"/>
      <c r="H93" s="59"/>
      <c r="I93" s="43"/>
      <c r="J93" s="39"/>
      <c r="K93" s="60"/>
      <c r="L93" s="60"/>
    </row>
    <row r="94" spans="2:13" ht="15" customHeight="1" x14ac:dyDescent="0.25">
      <c r="B94" s="34" t="s">
        <v>38</v>
      </c>
      <c r="C94" s="35">
        <v>0.73899999999999999</v>
      </c>
      <c r="D94" s="58">
        <v>868.95247300000005</v>
      </c>
      <c r="E94" s="42">
        <f t="shared" si="1"/>
        <v>6.3122280123752789E-2</v>
      </c>
      <c r="F94" s="59"/>
      <c r="G94" s="39"/>
      <c r="H94" s="59"/>
      <c r="I94" s="43"/>
      <c r="J94" s="39"/>
      <c r="K94" s="60"/>
      <c r="L94" s="60"/>
    </row>
    <row r="95" spans="2:13" ht="15" customHeight="1" x14ac:dyDescent="0.25">
      <c r="B95" s="151" t="s">
        <v>22</v>
      </c>
      <c r="C95" s="152"/>
      <c r="D95" s="152">
        <f>SUM(D79:D94)</f>
        <v>13766.176876</v>
      </c>
      <c r="E95" s="154">
        <f>SUM(E79:E94)</f>
        <v>1</v>
      </c>
      <c r="F95" s="62"/>
      <c r="G95" s="63"/>
      <c r="H95" s="64"/>
      <c r="I95" s="39"/>
      <c r="J95" s="64"/>
    </row>
    <row r="96" spans="2:13" ht="47.45" customHeight="1" x14ac:dyDescent="0.25">
      <c r="B96" s="162" t="s">
        <v>140</v>
      </c>
      <c r="C96" s="162"/>
      <c r="D96" s="162"/>
      <c r="E96" s="162"/>
      <c r="F96" s="59"/>
      <c r="G96" s="39"/>
      <c r="H96" s="39"/>
      <c r="I96" s="39"/>
      <c r="J96" s="64"/>
    </row>
    <row r="97" spans="2:6" ht="14.45" customHeight="1" x14ac:dyDescent="0.25">
      <c r="D97" s="21"/>
      <c r="F97" s="22"/>
    </row>
    <row r="98" spans="2:6" ht="49.15" customHeight="1" x14ac:dyDescent="0.25">
      <c r="B98" s="155" t="s">
        <v>141</v>
      </c>
      <c r="C98" s="132">
        <f>(SUMPRODUCT(C79:C94,E79:E94))-C73</f>
        <v>0.70023432827200893</v>
      </c>
      <c r="D98" s="31"/>
      <c r="F98" s="45"/>
    </row>
    <row r="99" spans="2:6" ht="49.9" customHeight="1" x14ac:dyDescent="0.25">
      <c r="B99" s="161" t="s">
        <v>142</v>
      </c>
      <c r="C99" s="161"/>
      <c r="D99" s="21"/>
    </row>
    <row r="100" spans="2:6" ht="14.45" customHeight="1" x14ac:dyDescent="0.3">
      <c r="B100" s="31"/>
      <c r="C100" s="65"/>
      <c r="D100" s="21"/>
    </row>
    <row r="101" spans="2:6" ht="14.45" customHeight="1" x14ac:dyDescent="0.25">
      <c r="B101" s="31"/>
      <c r="D101" s="21"/>
    </row>
    <row r="102" spans="2:6" ht="14.45" customHeight="1" x14ac:dyDescent="0.25">
      <c r="D102" s="21"/>
    </row>
    <row r="103" spans="2:6" ht="14.45" customHeight="1" x14ac:dyDescent="0.25">
      <c r="D103" s="21"/>
    </row>
    <row r="104" spans="2:6" ht="14.45" customHeight="1" x14ac:dyDescent="0.25">
      <c r="D104" s="21"/>
    </row>
    <row r="105" spans="2:6" ht="14.45" customHeight="1" x14ac:dyDescent="0.25">
      <c r="D105" s="21"/>
    </row>
    <row r="106" spans="2:6" ht="14.45" customHeight="1" x14ac:dyDescent="0.25">
      <c r="D106" s="21"/>
    </row>
    <row r="107" spans="2:6" ht="14.45" customHeight="1" x14ac:dyDescent="0.25">
      <c r="D107" s="21"/>
    </row>
    <row r="108" spans="2:6" ht="14.45" customHeight="1" x14ac:dyDescent="0.25">
      <c r="D108" s="21"/>
    </row>
    <row r="109" spans="2:6" ht="14.45" customHeight="1" x14ac:dyDescent="0.25">
      <c r="D109" s="21"/>
    </row>
    <row r="110" spans="2:6" ht="14.45" customHeight="1" x14ac:dyDescent="0.25">
      <c r="D110" s="21"/>
    </row>
    <row r="111" spans="2:6" ht="14.45" customHeight="1" x14ac:dyDescent="0.25">
      <c r="D111" s="21"/>
    </row>
  </sheetData>
  <sheetProtection algorithmName="SHA-512" hashValue="61dy92fuW8NDEoYMlKL6jwYbeqCUvoyHLdEWhgOaOz70wSiTj+q11U7Tu4u6UUY3w9CNCO/xABpAGQa+pWp44w==" saltValue="qqFaoBXAJo7auCcyz4pZLA==" spinCount="100000" sheet="1" objects="1" scenarios="1"/>
  <mergeCells count="13">
    <mergeCell ref="B99:C99"/>
    <mergeCell ref="B1:B5"/>
    <mergeCell ref="B31:D31"/>
    <mergeCell ref="B22:D22"/>
    <mergeCell ref="D26:D27"/>
    <mergeCell ref="B26:B27"/>
    <mergeCell ref="C26:C27"/>
    <mergeCell ref="B69:E69"/>
    <mergeCell ref="B96:E96"/>
    <mergeCell ref="B74:C74"/>
    <mergeCell ref="B45:C45"/>
    <mergeCell ref="C21:D21"/>
    <mergeCell ref="C30:D30"/>
  </mergeCells>
  <hyperlinks>
    <hyperlink ref="O5" location="Contenido!A1" tooltip="Regresar a contenido" display="Regresar" xr:uid="{00000000-0004-0000-0200-000000000000}"/>
  </hyperlinks>
  <pageMargins left="0.23622047244094491" right="0.23622047244094491" top="0.74803149606299213" bottom="0.74803149606299213" header="0.31496062992125984" footer="0.31496062992125984"/>
  <pageSetup scale="44" fitToWidth="0" orientation="portrait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3"/>
  </sheetPr>
  <dimension ref="A1:BR62"/>
  <sheetViews>
    <sheetView showGridLines="0" zoomScale="80" zoomScaleNormal="80" zoomScaleSheetLayoutView="70" workbookViewId="0">
      <selection activeCell="D11" sqref="D11"/>
    </sheetView>
  </sheetViews>
  <sheetFormatPr baseColWidth="10" defaultColWidth="11.5703125" defaultRowHeight="15" x14ac:dyDescent="0.25"/>
  <cols>
    <col min="1" max="1" width="7.7109375" style="19" customWidth="1"/>
    <col min="2" max="2" width="25.7109375" style="19" customWidth="1"/>
    <col min="3" max="5" width="20.7109375" style="19" customWidth="1"/>
    <col min="6" max="6" width="24.42578125" style="19" bestFit="1" customWidth="1"/>
    <col min="7" max="10" width="10.7109375" style="19" customWidth="1"/>
    <col min="11" max="11" width="20.7109375" style="19" customWidth="1"/>
    <col min="12" max="12" width="26.28515625" style="19" customWidth="1"/>
    <col min="13" max="18" width="10.7109375" style="19" customWidth="1"/>
    <col min="19" max="16384" width="11.5703125" style="22"/>
  </cols>
  <sheetData>
    <row r="1" spans="1:70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2"/>
      <c r="Q1" s="2"/>
      <c r="R1" s="2"/>
    </row>
    <row r="2" spans="1:70" s="1" customFormat="1" ht="22.15" customHeight="1" x14ac:dyDescent="0.25">
      <c r="B2" s="159"/>
      <c r="C2" s="142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70" s="1" customFormat="1" ht="22.15" customHeight="1" x14ac:dyDescent="0.25">
      <c r="B3" s="159"/>
      <c r="C3" s="142" t="s">
        <v>1</v>
      </c>
      <c r="G3" s="140"/>
      <c r="H3" s="140"/>
      <c r="I3" s="140"/>
      <c r="J3" s="140"/>
      <c r="K3" s="140"/>
      <c r="L3" s="140"/>
      <c r="M3" s="140"/>
      <c r="N3" s="140"/>
      <c r="O3" s="140"/>
      <c r="P3" s="2"/>
      <c r="Q3" s="2"/>
      <c r="R3" s="2"/>
    </row>
    <row r="4" spans="1:70" s="1" customFormat="1" ht="6.6" customHeight="1" x14ac:dyDescent="0.25">
      <c r="B4" s="159"/>
      <c r="C4" s="140"/>
      <c r="G4" s="140"/>
      <c r="H4" s="140"/>
      <c r="I4" s="140"/>
      <c r="J4" s="140"/>
      <c r="K4" s="140"/>
      <c r="L4" s="140"/>
      <c r="M4" s="140"/>
      <c r="N4" s="140"/>
      <c r="O4" s="140"/>
      <c r="P4" s="2"/>
      <c r="Q4" s="2"/>
      <c r="R4" s="2"/>
    </row>
    <row r="5" spans="1:70" s="1" customFormat="1" ht="18" customHeight="1" x14ac:dyDescent="0.3">
      <c r="A5" s="143"/>
      <c r="B5" s="160"/>
      <c r="C5" s="144" t="s">
        <v>130</v>
      </c>
      <c r="D5" s="141"/>
      <c r="E5" s="141"/>
      <c r="F5" s="141"/>
      <c r="G5" s="141"/>
      <c r="H5" s="141"/>
      <c r="I5" s="141"/>
      <c r="J5" s="5"/>
      <c r="K5" s="141"/>
      <c r="L5" s="141"/>
      <c r="M5" s="141"/>
      <c r="N5" s="141"/>
      <c r="O5" s="141"/>
      <c r="P5" s="141"/>
      <c r="Q5" s="141"/>
      <c r="R5" s="145" t="s">
        <v>10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7" spans="1:70" s="1" customFormat="1" ht="18" customHeight="1" collapsed="1" x14ac:dyDescent="0.25">
      <c r="B7" s="15" t="s">
        <v>146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9" spans="1:70" ht="36.6" customHeight="1" x14ac:dyDescent="0.25">
      <c r="B9" s="146" t="s">
        <v>39</v>
      </c>
      <c r="C9" s="147" t="s">
        <v>46</v>
      </c>
      <c r="D9" s="147" t="s">
        <v>57</v>
      </c>
      <c r="E9" s="147" t="s">
        <v>108</v>
      </c>
      <c r="F9" s="23"/>
      <c r="G9" s="23"/>
      <c r="H9" s="23"/>
    </row>
    <row r="10" spans="1:70" x14ac:dyDescent="0.25">
      <c r="B10" s="25" t="s">
        <v>4</v>
      </c>
      <c r="C10" s="66">
        <f>$D$20</f>
        <v>2.5338594468617339</v>
      </c>
      <c r="D10" s="67">
        <f>$C$54</f>
        <v>1.2422211314743392</v>
      </c>
      <c r="E10" s="132">
        <f>ROUND(((D10*C10)/100),5)</f>
        <v>3.1480000000000001E-2</v>
      </c>
      <c r="F10" s="68"/>
      <c r="G10" s="137"/>
      <c r="H10" s="136"/>
    </row>
    <row r="11" spans="1:70" x14ac:dyDescent="0.25">
      <c r="B11" s="25" t="s">
        <v>5</v>
      </c>
      <c r="C11" s="66">
        <f>$N$45</f>
        <v>1.5409852045843486</v>
      </c>
      <c r="D11" s="67">
        <f>$D$54</f>
        <v>1.6497495063891703</v>
      </c>
      <c r="E11" s="132">
        <f>ROUND(((D11*C11)/100),5)</f>
        <v>2.5420000000000002E-2</v>
      </c>
      <c r="F11" s="23"/>
      <c r="G11" s="68"/>
      <c r="H11" s="23"/>
    </row>
    <row r="12" spans="1:70" x14ac:dyDescent="0.25">
      <c r="B12" s="25" t="s">
        <v>3</v>
      </c>
      <c r="C12" s="66">
        <f>$M$45</f>
        <v>7.5631522536129463</v>
      </c>
      <c r="D12" s="26">
        <f>$G$54</f>
        <v>2.1007350893203651</v>
      </c>
      <c r="E12" s="132">
        <f>ROUND(((D12*C12)/100),5)</f>
        <v>0.15887999999999999</v>
      </c>
      <c r="F12" s="23"/>
      <c r="G12" s="68"/>
      <c r="H12" s="23"/>
    </row>
    <row r="13" spans="1:70" ht="14.45" customHeight="1" x14ac:dyDescent="0.25"/>
    <row r="14" spans="1:70" s="1" customFormat="1" ht="18" customHeight="1" collapsed="1" x14ac:dyDescent="0.25">
      <c r="B14" s="15" t="s">
        <v>121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70" ht="14.45" customHeight="1" x14ac:dyDescent="0.25">
      <c r="B15" s="23"/>
    </row>
    <row r="16" spans="1:70" s="1" customFormat="1" ht="18" customHeight="1" collapsed="1" x14ac:dyDescent="0.25">
      <c r="B16" s="32" t="s">
        <v>122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2:30" ht="14.45" customHeight="1" x14ac:dyDescent="0.25"/>
    <row r="18" spans="2:30" ht="22.9" customHeight="1" x14ac:dyDescent="0.25">
      <c r="B18" s="170" t="s">
        <v>44</v>
      </c>
      <c r="C18" s="170"/>
      <c r="D18" s="69">
        <v>7694.5244499093997</v>
      </c>
    </row>
    <row r="19" spans="2:30" ht="22.9" customHeight="1" x14ac:dyDescent="0.25">
      <c r="B19" s="170" t="s">
        <v>56</v>
      </c>
      <c r="C19" s="170"/>
      <c r="D19" s="69">
        <v>311362.68802698998</v>
      </c>
      <c r="F19" s="70"/>
      <c r="G19" s="71"/>
    </row>
    <row r="20" spans="2:30" ht="22.9" customHeight="1" x14ac:dyDescent="0.25">
      <c r="B20" s="170" t="s">
        <v>40</v>
      </c>
      <c r="C20" s="170"/>
      <c r="D20" s="72">
        <f>(D18/(D19-D18))*100</f>
        <v>2.5338594468617339</v>
      </c>
    </row>
    <row r="21" spans="2:30" x14ac:dyDescent="0.25">
      <c r="B21" s="163" t="s">
        <v>52</v>
      </c>
      <c r="C21" s="163"/>
      <c r="D21" s="163"/>
    </row>
    <row r="22" spans="2:30" ht="14.45" customHeight="1" x14ac:dyDescent="0.25">
      <c r="B22" s="23"/>
    </row>
    <row r="23" spans="2:30" s="1" customFormat="1" ht="18" customHeight="1" collapsed="1" x14ac:dyDescent="0.25">
      <c r="B23" s="32" t="s">
        <v>123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2:30" ht="14.45" customHeight="1" x14ac:dyDescent="0.25">
      <c r="B24" s="23"/>
    </row>
    <row r="25" spans="2:30" ht="36" customHeight="1" x14ac:dyDescent="0.3">
      <c r="B25" s="171" t="s">
        <v>75</v>
      </c>
      <c r="C25" s="171"/>
      <c r="D25" s="171"/>
      <c r="E25" s="65"/>
      <c r="F25" s="172" t="s">
        <v>74</v>
      </c>
      <c r="G25" s="172"/>
      <c r="H25" s="172"/>
      <c r="I25" s="172"/>
      <c r="J25" s="172"/>
      <c r="K25" s="65"/>
      <c r="L25" s="172" t="s">
        <v>60</v>
      </c>
      <c r="M25" s="172"/>
      <c r="N25" s="172"/>
      <c r="O25" s="172"/>
      <c r="P25" s="172"/>
      <c r="Q25" s="172"/>
      <c r="R25" s="172"/>
    </row>
    <row r="26" spans="2:30" ht="47.45" customHeight="1" x14ac:dyDescent="0.3">
      <c r="B26" s="164" t="s">
        <v>42</v>
      </c>
      <c r="C26" s="164" t="s">
        <v>41</v>
      </c>
      <c r="D26" s="164">
        <v>2018</v>
      </c>
      <c r="E26" s="65"/>
      <c r="F26" s="164" t="s">
        <v>42</v>
      </c>
      <c r="G26" s="176" t="s">
        <v>85</v>
      </c>
      <c r="H26" s="177"/>
      <c r="I26" s="164" t="s">
        <v>86</v>
      </c>
      <c r="J26" s="164"/>
      <c r="L26" s="164" t="s">
        <v>42</v>
      </c>
      <c r="M26" s="164" t="s">
        <v>59</v>
      </c>
      <c r="N26" s="164"/>
      <c r="O26" s="164" t="s">
        <v>73</v>
      </c>
      <c r="P26" s="164"/>
      <c r="Q26" s="164" t="s">
        <v>87</v>
      </c>
      <c r="R26" s="164"/>
    </row>
    <row r="27" spans="2:30" ht="14.45" customHeight="1" x14ac:dyDescent="0.3">
      <c r="B27" s="164"/>
      <c r="C27" s="164"/>
      <c r="D27" s="164"/>
      <c r="E27" s="4"/>
      <c r="F27" s="164"/>
      <c r="G27" s="146" t="s">
        <v>8</v>
      </c>
      <c r="H27" s="146" t="s">
        <v>9</v>
      </c>
      <c r="I27" s="146" t="s">
        <v>8</v>
      </c>
      <c r="J27" s="146" t="s">
        <v>9</v>
      </c>
      <c r="L27" s="164"/>
      <c r="M27" s="146" t="s">
        <v>8</v>
      </c>
      <c r="N27" s="146" t="s">
        <v>9</v>
      </c>
      <c r="O27" s="146" t="s">
        <v>8</v>
      </c>
      <c r="P27" s="146" t="s">
        <v>9</v>
      </c>
      <c r="Q27" s="146" t="s">
        <v>8</v>
      </c>
      <c r="R27" s="146" t="s">
        <v>9</v>
      </c>
      <c r="T27" s="53"/>
      <c r="U27" s="53"/>
    </row>
    <row r="28" spans="2:30" ht="13.9" customHeight="1" x14ac:dyDescent="0.3">
      <c r="B28" s="73" t="s">
        <v>23</v>
      </c>
      <c r="C28" s="74">
        <v>4.2000000000000003E-2</v>
      </c>
      <c r="D28" s="74">
        <v>4.2000000000000003E-2</v>
      </c>
      <c r="E28" s="65"/>
      <c r="F28" s="73" t="s">
        <v>23</v>
      </c>
      <c r="G28" s="75">
        <v>5.5745653920871198E-2</v>
      </c>
      <c r="H28" s="76">
        <v>1.0533841409897051E-2</v>
      </c>
      <c r="I28" s="75">
        <f t="shared" ref="I28:I43" si="0">G28*(D28/C28)</f>
        <v>5.5745653920871198E-2</v>
      </c>
      <c r="J28" s="76">
        <f t="shared" ref="J28:J43" si="1">H28*(D28/C28)</f>
        <v>1.0533841409897051E-2</v>
      </c>
      <c r="K28" s="135"/>
      <c r="L28" s="73" t="s">
        <v>23</v>
      </c>
      <c r="M28" s="77">
        <f>I28/(1-I28)</f>
        <v>5.9036692976152522E-2</v>
      </c>
      <c r="N28" s="78">
        <f t="shared" ref="N28:N43" si="2">J28/(1-J28)</f>
        <v>1.0645984522509384E-2</v>
      </c>
      <c r="O28" s="79">
        <f t="shared" ref="O28:O43" si="3">Q28/Q$45</f>
        <v>5.6591568641065085E-2</v>
      </c>
      <c r="P28" s="80">
        <f t="shared" ref="P28:P43" si="4">R28/R$45</f>
        <v>6.8345855212516723E-2</v>
      </c>
      <c r="Q28" s="81">
        <v>863.10830800000008</v>
      </c>
      <c r="R28" s="81">
        <v>5985.6160220000002</v>
      </c>
      <c r="S28" s="138"/>
      <c r="T28" s="83"/>
      <c r="U28" s="83"/>
    </row>
    <row r="29" spans="2:30" ht="13.9" customHeight="1" x14ac:dyDescent="0.3">
      <c r="B29" s="73" t="s">
        <v>24</v>
      </c>
      <c r="C29" s="74">
        <v>7.9000000000000001E-2</v>
      </c>
      <c r="D29" s="74">
        <v>6.6000000000000003E-2</v>
      </c>
      <c r="E29" s="65"/>
      <c r="F29" s="73" t="s">
        <v>24</v>
      </c>
      <c r="G29" s="75">
        <v>9.8914341374108636E-2</v>
      </c>
      <c r="H29" s="76">
        <v>2.5427158710992746E-2</v>
      </c>
      <c r="I29" s="75">
        <f t="shared" si="0"/>
        <v>8.2637297856850256E-2</v>
      </c>
      <c r="J29" s="76">
        <f t="shared" si="1"/>
        <v>2.1242942720576218E-2</v>
      </c>
      <c r="K29" s="135"/>
      <c r="L29" s="73" t="s">
        <v>24</v>
      </c>
      <c r="M29" s="77">
        <f>I29/(1-I29)</f>
        <v>9.0081379659094893E-2</v>
      </c>
      <c r="N29" s="78">
        <f t="shared" si="2"/>
        <v>2.1703999539603426E-2</v>
      </c>
      <c r="O29" s="79">
        <f t="shared" si="3"/>
        <v>8.4015276431591734E-2</v>
      </c>
      <c r="P29" s="80">
        <f t="shared" si="4"/>
        <v>0.11691329778940818</v>
      </c>
      <c r="Q29" s="81">
        <v>1281.3619560000002</v>
      </c>
      <c r="R29" s="81">
        <v>10239.071649</v>
      </c>
      <c r="S29" s="94"/>
      <c r="T29" s="83"/>
      <c r="U29" s="83"/>
    </row>
    <row r="30" spans="2:30" ht="13.9" customHeight="1" x14ac:dyDescent="0.3">
      <c r="B30" s="73" t="s">
        <v>25</v>
      </c>
      <c r="C30" s="74">
        <v>6.0999999999999999E-2</v>
      </c>
      <c r="D30" s="74">
        <v>6.0999999999999999E-2</v>
      </c>
      <c r="E30" s="65"/>
      <c r="F30" s="73" t="s">
        <v>25</v>
      </c>
      <c r="G30" s="75">
        <v>7.0836354726184811E-2</v>
      </c>
      <c r="H30" s="76">
        <v>1.5051385713105677E-2</v>
      </c>
      <c r="I30" s="75">
        <f t="shared" si="0"/>
        <v>7.0836354726184811E-2</v>
      </c>
      <c r="J30" s="76">
        <f t="shared" si="1"/>
        <v>1.5051385713105677E-2</v>
      </c>
      <c r="K30" s="135"/>
      <c r="L30" s="73" t="s">
        <v>25</v>
      </c>
      <c r="M30" s="77">
        <f t="shared" ref="M30:M43" si="5">I30/(1-I30)</f>
        <v>7.6236683480346512E-2</v>
      </c>
      <c r="N30" s="78">
        <f t="shared" si="2"/>
        <v>1.5281391835860315E-2</v>
      </c>
      <c r="O30" s="79">
        <f t="shared" si="3"/>
        <v>4.5775517894169927E-2</v>
      </c>
      <c r="P30" s="80">
        <f t="shared" si="4"/>
        <v>2.652779801660865E-2</v>
      </c>
      <c r="Q30" s="81">
        <v>698.14692800000012</v>
      </c>
      <c r="R30" s="81">
        <v>2323.260311</v>
      </c>
      <c r="S30" s="94"/>
      <c r="T30" s="83"/>
      <c r="U30" s="83"/>
    </row>
    <row r="31" spans="2:30" ht="13.9" customHeight="1" x14ac:dyDescent="0.3">
      <c r="B31" s="73" t="s">
        <v>26</v>
      </c>
      <c r="C31" s="74">
        <v>5.1999999999999998E-2</v>
      </c>
      <c r="D31" s="74">
        <v>5.1999999999999998E-2</v>
      </c>
      <c r="E31" s="65"/>
      <c r="F31" s="73" t="s">
        <v>26</v>
      </c>
      <c r="G31" s="75">
        <v>6.4580037762402037E-2</v>
      </c>
      <c r="H31" s="76">
        <v>1.7806347766721659E-2</v>
      </c>
      <c r="I31" s="75">
        <f t="shared" si="0"/>
        <v>6.4580037762402037E-2</v>
      </c>
      <c r="J31" s="76">
        <f t="shared" si="1"/>
        <v>1.7806347766721659E-2</v>
      </c>
      <c r="K31" s="135"/>
      <c r="L31" s="73" t="s">
        <v>26</v>
      </c>
      <c r="M31" s="77">
        <f t="shared" si="5"/>
        <v>6.9038549923524747E-2</v>
      </c>
      <c r="N31" s="78">
        <f t="shared" si="2"/>
        <v>1.8129161928744086E-2</v>
      </c>
      <c r="O31" s="79">
        <f t="shared" si="3"/>
        <v>6.4244141745577119E-2</v>
      </c>
      <c r="P31" s="80">
        <f t="shared" si="4"/>
        <v>5.8084770798500829E-2</v>
      </c>
      <c r="Q31" s="81">
        <v>979.82179699999995</v>
      </c>
      <c r="R31" s="81">
        <v>5086.967361</v>
      </c>
      <c r="S31" s="94"/>
      <c r="T31" s="83"/>
      <c r="U31" s="83"/>
    </row>
    <row r="32" spans="2:30" ht="13.9" customHeight="1" x14ac:dyDescent="0.3">
      <c r="B32" s="73" t="s">
        <v>27</v>
      </c>
      <c r="C32" s="74">
        <v>6.0999999999999999E-2</v>
      </c>
      <c r="D32" s="74">
        <v>6.0999999999999999E-2</v>
      </c>
      <c r="E32" s="65"/>
      <c r="F32" s="73" t="s">
        <v>27</v>
      </c>
      <c r="G32" s="75">
        <v>5.7829134842447318E-2</v>
      </c>
      <c r="H32" s="76">
        <v>2.2448401110591307E-2</v>
      </c>
      <c r="I32" s="75">
        <f t="shared" si="0"/>
        <v>5.7829134842447318E-2</v>
      </c>
      <c r="J32" s="76">
        <f t="shared" si="1"/>
        <v>2.2448401110591307E-2</v>
      </c>
      <c r="K32" s="135"/>
      <c r="L32" s="73" t="s">
        <v>27</v>
      </c>
      <c r="M32" s="77">
        <f t="shared" si="5"/>
        <v>6.1378606557502664E-2</v>
      </c>
      <c r="N32" s="78">
        <f t="shared" si="2"/>
        <v>2.2963904039535937E-2</v>
      </c>
      <c r="O32" s="79">
        <f t="shared" si="3"/>
        <v>4.494201774271326E-2</v>
      </c>
      <c r="P32" s="80">
        <f t="shared" si="4"/>
        <v>2.7218715705743291E-2</v>
      </c>
      <c r="Q32" s="81">
        <v>685.43477099999996</v>
      </c>
      <c r="R32" s="81">
        <v>2383.76973</v>
      </c>
      <c r="S32" s="94"/>
      <c r="T32" s="83"/>
      <c r="U32" s="83"/>
    </row>
    <row r="33" spans="2:30" ht="13.9" customHeight="1" x14ac:dyDescent="0.3">
      <c r="B33" s="73" t="s">
        <v>28</v>
      </c>
      <c r="C33" s="74">
        <v>6.2E-2</v>
      </c>
      <c r="D33" s="74">
        <v>6.2E-2</v>
      </c>
      <c r="E33" s="65"/>
      <c r="F33" s="73" t="s">
        <v>28</v>
      </c>
      <c r="G33" s="75">
        <v>7.5372413369755767E-2</v>
      </c>
      <c r="H33" s="76">
        <v>1.6537764873356443E-2</v>
      </c>
      <c r="I33" s="75">
        <f t="shared" si="0"/>
        <v>7.5372413369755767E-2</v>
      </c>
      <c r="J33" s="76">
        <f t="shared" si="1"/>
        <v>1.6537764873356443E-2</v>
      </c>
      <c r="K33" s="135"/>
      <c r="L33" s="73" t="s">
        <v>28</v>
      </c>
      <c r="M33" s="77">
        <f t="shared" si="5"/>
        <v>8.1516509413748398E-2</v>
      </c>
      <c r="N33" s="78">
        <f t="shared" si="2"/>
        <v>1.6815861639289914E-2</v>
      </c>
      <c r="O33" s="79">
        <f t="shared" si="3"/>
        <v>3.29982053876922E-2</v>
      </c>
      <c r="P33" s="80">
        <f t="shared" si="4"/>
        <v>3.3520324348447858E-2</v>
      </c>
      <c r="Q33" s="81">
        <v>503.27329500000008</v>
      </c>
      <c r="R33" s="81">
        <v>2935.654106</v>
      </c>
      <c r="S33" s="94"/>
      <c r="T33" s="83"/>
      <c r="U33" s="83"/>
    </row>
    <row r="34" spans="2:30" ht="13.9" customHeight="1" x14ac:dyDescent="0.3">
      <c r="B34" s="73" t="s">
        <v>29</v>
      </c>
      <c r="C34" s="74">
        <v>0.04</v>
      </c>
      <c r="D34" s="74">
        <v>0.04</v>
      </c>
      <c r="E34" s="65"/>
      <c r="F34" s="73" t="s">
        <v>29</v>
      </c>
      <c r="G34" s="75">
        <v>6.2988165563251194E-2</v>
      </c>
      <c r="H34" s="76">
        <v>1.1037985642852242E-2</v>
      </c>
      <c r="I34" s="75">
        <f t="shared" si="0"/>
        <v>6.2988165563251194E-2</v>
      </c>
      <c r="J34" s="76">
        <f t="shared" si="1"/>
        <v>1.1037985642852242E-2</v>
      </c>
      <c r="K34" s="135"/>
      <c r="L34" s="73" t="s">
        <v>29</v>
      </c>
      <c r="M34" s="77">
        <f t="shared" si="5"/>
        <v>6.7222379961843576E-2</v>
      </c>
      <c r="N34" s="78">
        <f t="shared" si="2"/>
        <v>1.1161182616328529E-2</v>
      </c>
      <c r="O34" s="79">
        <f t="shared" si="3"/>
        <v>6.5622063414293566E-2</v>
      </c>
      <c r="P34" s="80">
        <f t="shared" si="4"/>
        <v>0.16713579682974053</v>
      </c>
      <c r="Q34" s="81">
        <v>1000.8372180000002</v>
      </c>
      <c r="R34" s="81">
        <v>14637.474361</v>
      </c>
      <c r="S34" s="94"/>
      <c r="T34" s="83"/>
      <c r="U34" s="83"/>
    </row>
    <row r="35" spans="2:30" ht="13.9" customHeight="1" x14ac:dyDescent="0.3">
      <c r="B35" s="73" t="s">
        <v>30</v>
      </c>
      <c r="C35" s="74">
        <v>6.3E-2</v>
      </c>
      <c r="D35" s="74">
        <v>5.8000000000000003E-2</v>
      </c>
      <c r="E35" s="65"/>
      <c r="F35" s="73" t="s">
        <v>30</v>
      </c>
      <c r="G35" s="75">
        <v>8.45091589398555E-2</v>
      </c>
      <c r="H35" s="76">
        <v>1.2818671161040945E-2</v>
      </c>
      <c r="I35" s="75">
        <f t="shared" si="0"/>
        <v>7.7802082833517763E-2</v>
      </c>
      <c r="J35" s="76">
        <f t="shared" si="1"/>
        <v>1.1801316306990077E-2</v>
      </c>
      <c r="K35" s="135"/>
      <c r="L35" s="73" t="s">
        <v>30</v>
      </c>
      <c r="M35" s="77">
        <f t="shared" si="5"/>
        <v>8.4365927731186077E-2</v>
      </c>
      <c r="N35" s="78">
        <f t="shared" si="2"/>
        <v>1.1942250583543814E-2</v>
      </c>
      <c r="O35" s="79">
        <f t="shared" si="3"/>
        <v>8.3876171485411072E-2</v>
      </c>
      <c r="P35" s="80">
        <f t="shared" si="4"/>
        <v>7.169693054304406E-2</v>
      </c>
      <c r="Q35" s="81">
        <v>1279.2403919999999</v>
      </c>
      <c r="R35" s="81">
        <v>6279.0976110000001</v>
      </c>
      <c r="S35" s="94"/>
      <c r="T35" s="83"/>
      <c r="U35" s="83"/>
    </row>
    <row r="36" spans="2:30" ht="13.9" customHeight="1" x14ac:dyDescent="0.3">
      <c r="B36" s="73" t="s">
        <v>31</v>
      </c>
      <c r="C36" s="74">
        <v>3.9E-2</v>
      </c>
      <c r="D36" s="74">
        <v>3.9E-2</v>
      </c>
      <c r="E36" s="65"/>
      <c r="F36" s="73" t="s">
        <v>31</v>
      </c>
      <c r="G36" s="75">
        <v>4.0066476503131672E-2</v>
      </c>
      <c r="H36" s="76">
        <v>1.3112021904318722E-2</v>
      </c>
      <c r="I36" s="75">
        <f t="shared" si="0"/>
        <v>4.0066476503131672E-2</v>
      </c>
      <c r="J36" s="76">
        <f t="shared" si="1"/>
        <v>1.3112021904318722E-2</v>
      </c>
      <c r="K36" s="135"/>
      <c r="L36" s="73" t="s">
        <v>31</v>
      </c>
      <c r="M36" s="77">
        <f t="shared" si="5"/>
        <v>4.173880328418636E-2</v>
      </c>
      <c r="N36" s="78">
        <f t="shared" si="2"/>
        <v>1.3286231259620713E-2</v>
      </c>
      <c r="O36" s="79">
        <f t="shared" si="3"/>
        <v>5.9703560843886012E-2</v>
      </c>
      <c r="P36" s="80">
        <f t="shared" si="4"/>
        <v>6.6699653005365761E-2</v>
      </c>
      <c r="Q36" s="81">
        <v>910.570967</v>
      </c>
      <c r="R36" s="81">
        <v>5841.4443779999992</v>
      </c>
      <c r="S36" s="94"/>
      <c r="T36" s="83"/>
      <c r="U36" s="83"/>
    </row>
    <row r="37" spans="2:30" ht="13.9" customHeight="1" x14ac:dyDescent="0.3">
      <c r="B37" s="73" t="s">
        <v>32</v>
      </c>
      <c r="C37" s="74">
        <v>5.0999999999999997E-2</v>
      </c>
      <c r="D37" s="74">
        <v>5.0999999999999997E-2</v>
      </c>
      <c r="E37" s="65"/>
      <c r="F37" s="73" t="s">
        <v>32</v>
      </c>
      <c r="G37" s="75">
        <v>4.846601184605847E-2</v>
      </c>
      <c r="H37" s="76">
        <v>2.5579023151798327E-2</v>
      </c>
      <c r="I37" s="75">
        <f t="shared" si="0"/>
        <v>4.846601184605847E-2</v>
      </c>
      <c r="J37" s="76">
        <f t="shared" si="1"/>
        <v>2.5579023151798327E-2</v>
      </c>
      <c r="K37" s="135"/>
      <c r="L37" s="73" t="s">
        <v>32</v>
      </c>
      <c r="M37" s="77">
        <f t="shared" si="5"/>
        <v>5.0934609219883714E-2</v>
      </c>
      <c r="N37" s="78">
        <f t="shared" si="2"/>
        <v>2.62504849131374E-2</v>
      </c>
      <c r="O37" s="79">
        <f t="shared" si="3"/>
        <v>4.1148005088765843E-2</v>
      </c>
      <c r="P37" s="80">
        <f t="shared" si="4"/>
        <v>8.2576037538132127E-2</v>
      </c>
      <c r="Q37" s="81">
        <v>627.57025299999998</v>
      </c>
      <c r="R37" s="81">
        <v>7231.8716589999995</v>
      </c>
      <c r="S37" s="94"/>
      <c r="T37" s="83"/>
      <c r="U37" s="83"/>
    </row>
    <row r="38" spans="2:30" ht="13.9" customHeight="1" x14ac:dyDescent="0.3">
      <c r="B38" s="73" t="s">
        <v>33</v>
      </c>
      <c r="C38" s="74">
        <v>8.6999999999999994E-2</v>
      </c>
      <c r="D38" s="74">
        <v>6.9000000000000006E-2</v>
      </c>
      <c r="E38" s="65"/>
      <c r="F38" s="73" t="s">
        <v>33</v>
      </c>
      <c r="G38" s="75">
        <v>9.3613051756790841E-2</v>
      </c>
      <c r="H38" s="76">
        <v>2.4168870850528969E-2</v>
      </c>
      <c r="I38" s="75">
        <f t="shared" si="0"/>
        <v>7.4244834151937583E-2</v>
      </c>
      <c r="J38" s="76">
        <f t="shared" si="1"/>
        <v>1.9168414812488495E-2</v>
      </c>
      <c r="K38" s="135"/>
      <c r="L38" s="73" t="s">
        <v>33</v>
      </c>
      <c r="M38" s="77">
        <f t="shared" si="5"/>
        <v>8.0199211293542877E-2</v>
      </c>
      <c r="N38" s="78">
        <f t="shared" si="2"/>
        <v>1.9543023595456455E-2</v>
      </c>
      <c r="O38" s="79">
        <f t="shared" si="3"/>
        <v>5.1912000879665403E-2</v>
      </c>
      <c r="P38" s="80">
        <f t="shared" si="4"/>
        <v>3.1767883351961818E-2</v>
      </c>
      <c r="Q38" s="81">
        <v>791.73771499999998</v>
      </c>
      <c r="R38" s="81">
        <v>2782.1782459999999</v>
      </c>
      <c r="S38" s="94"/>
      <c r="T38" s="83"/>
      <c r="U38" s="83"/>
    </row>
    <row r="39" spans="2:30" ht="13.9" customHeight="1" x14ac:dyDescent="0.3">
      <c r="B39" s="73" t="s">
        <v>34</v>
      </c>
      <c r="C39" s="74">
        <v>4.8000000000000001E-2</v>
      </c>
      <c r="D39" s="74">
        <v>4.8000000000000001E-2</v>
      </c>
      <c r="E39" s="65"/>
      <c r="F39" s="73" t="s">
        <v>34</v>
      </c>
      <c r="G39" s="75">
        <v>5.6388909978338446E-2</v>
      </c>
      <c r="H39" s="76">
        <v>1.9529182885828954E-2</v>
      </c>
      <c r="I39" s="75">
        <f t="shared" si="0"/>
        <v>5.6388909978338446E-2</v>
      </c>
      <c r="J39" s="76">
        <f t="shared" si="1"/>
        <v>1.9529182885828954E-2</v>
      </c>
      <c r="K39" s="135"/>
      <c r="L39" s="73" t="s">
        <v>34</v>
      </c>
      <c r="M39" s="77">
        <f t="shared" si="5"/>
        <v>5.9758634224025477E-2</v>
      </c>
      <c r="N39" s="78">
        <f t="shared" si="2"/>
        <v>1.9918168440045347E-2</v>
      </c>
      <c r="O39" s="79">
        <f t="shared" si="3"/>
        <v>5.344116240400635E-2</v>
      </c>
      <c r="P39" s="80">
        <f t="shared" si="4"/>
        <v>5.6235380171062187E-2</v>
      </c>
      <c r="Q39" s="81">
        <v>815.05977600000006</v>
      </c>
      <c r="R39" s="81">
        <v>4925.0008139999991</v>
      </c>
      <c r="S39" s="94"/>
      <c r="T39" s="83"/>
      <c r="U39" s="83"/>
    </row>
    <row r="40" spans="2:30" ht="13.9" customHeight="1" x14ac:dyDescent="0.3">
      <c r="B40" s="73" t="s">
        <v>35</v>
      </c>
      <c r="C40" s="74">
        <v>9.6000000000000002E-2</v>
      </c>
      <c r="D40" s="74">
        <v>7.4999999999999997E-2</v>
      </c>
      <c r="E40" s="65"/>
      <c r="F40" s="73" t="s">
        <v>35</v>
      </c>
      <c r="G40" s="75">
        <v>8.1428494417168928E-2</v>
      </c>
      <c r="H40" s="76">
        <v>3.657445281459943E-2</v>
      </c>
      <c r="I40" s="75">
        <f t="shared" si="0"/>
        <v>6.3616011263413222E-2</v>
      </c>
      <c r="J40" s="76">
        <f t="shared" si="1"/>
        <v>2.8573791261405804E-2</v>
      </c>
      <c r="K40" s="135"/>
      <c r="L40" s="73" t="s">
        <v>35</v>
      </c>
      <c r="M40" s="77">
        <f t="shared" si="5"/>
        <v>6.7937952836257837E-2</v>
      </c>
      <c r="N40" s="78">
        <f t="shared" si="2"/>
        <v>2.9414268427561917E-2</v>
      </c>
      <c r="O40" s="79">
        <f t="shared" si="3"/>
        <v>6.183741309646474E-2</v>
      </c>
      <c r="P40" s="80">
        <f t="shared" si="4"/>
        <v>2.5719442843510097E-2</v>
      </c>
      <c r="Q40" s="81">
        <v>943.11548999999991</v>
      </c>
      <c r="R40" s="81">
        <v>2252.465913</v>
      </c>
      <c r="S40" s="94"/>
      <c r="T40" s="83"/>
      <c r="U40" s="83"/>
    </row>
    <row r="41" spans="2:30" ht="13.9" customHeight="1" x14ac:dyDescent="0.3">
      <c r="B41" s="73" t="s">
        <v>36</v>
      </c>
      <c r="C41" s="74">
        <v>7.0999999999999994E-2</v>
      </c>
      <c r="D41" s="74">
        <v>5.5E-2</v>
      </c>
      <c r="E41" s="65"/>
      <c r="F41" s="73" t="s">
        <v>36</v>
      </c>
      <c r="G41" s="75">
        <v>9.8435160499012922E-2</v>
      </c>
      <c r="H41" s="76">
        <v>8.7683815422009582E-3</v>
      </c>
      <c r="I41" s="75">
        <f t="shared" si="0"/>
        <v>7.6252589118953676E-2</v>
      </c>
      <c r="J41" s="76">
        <f t="shared" si="1"/>
        <v>6.7924082369162355E-3</v>
      </c>
      <c r="K41" s="135"/>
      <c r="L41" s="73" t="s">
        <v>36</v>
      </c>
      <c r="M41" s="77">
        <f t="shared" si="5"/>
        <v>8.2547012549919835E-2</v>
      </c>
      <c r="N41" s="78">
        <f t="shared" si="2"/>
        <v>6.838860569781541E-3</v>
      </c>
      <c r="O41" s="79">
        <f t="shared" si="3"/>
        <v>0.11239818391527037</v>
      </c>
      <c r="P41" s="80">
        <f t="shared" si="4"/>
        <v>4.5433486703785914E-2</v>
      </c>
      <c r="Q41" s="81">
        <v>1714.244872</v>
      </c>
      <c r="R41" s="81">
        <v>3978.9889979999994</v>
      </c>
      <c r="S41" s="94"/>
      <c r="T41" s="83"/>
      <c r="U41" s="83"/>
    </row>
    <row r="42" spans="2:30" ht="13.9" customHeight="1" x14ac:dyDescent="0.3">
      <c r="B42" s="73" t="s">
        <v>37</v>
      </c>
      <c r="C42" s="74">
        <v>9.5000000000000001E-2</v>
      </c>
      <c r="D42" s="74">
        <v>7.3999999999999996E-2</v>
      </c>
      <c r="E42" s="65"/>
      <c r="F42" s="73" t="s">
        <v>37</v>
      </c>
      <c r="G42" s="75">
        <v>0.15118722178688249</v>
      </c>
      <c r="H42" s="76">
        <v>7.4583091363823184E-3</v>
      </c>
      <c r="I42" s="75">
        <f t="shared" si="0"/>
        <v>0.11776688854978215</v>
      </c>
      <c r="J42" s="76">
        <f t="shared" si="1"/>
        <v>5.8096302746557006E-3</v>
      </c>
      <c r="K42" s="135"/>
      <c r="L42" s="73" t="s">
        <v>37</v>
      </c>
      <c r="M42" s="77">
        <f t="shared" si="5"/>
        <v>0.13348726886502427</v>
      </c>
      <c r="N42" s="78">
        <f t="shared" si="2"/>
        <v>5.8435793099270049E-3</v>
      </c>
      <c r="O42" s="79">
        <f t="shared" si="3"/>
        <v>6.4947708814344612E-2</v>
      </c>
      <c r="P42" s="80">
        <f t="shared" si="4"/>
        <v>6.3097270023602825E-2</v>
      </c>
      <c r="Q42" s="81">
        <v>990.5522749999999</v>
      </c>
      <c r="R42" s="81">
        <v>5525.9536840000001</v>
      </c>
      <c r="S42" s="94"/>
      <c r="T42" s="83"/>
      <c r="U42" s="83"/>
    </row>
    <row r="43" spans="2:30" ht="13.9" customHeight="1" x14ac:dyDescent="0.3">
      <c r="B43" s="84" t="s">
        <v>38</v>
      </c>
      <c r="C43" s="85">
        <v>6.2E-2</v>
      </c>
      <c r="D43" s="85">
        <v>5.2999999999999999E-2</v>
      </c>
      <c r="E43" s="31"/>
      <c r="F43" s="84" t="s">
        <v>38</v>
      </c>
      <c r="G43" s="86">
        <v>8.1967081937304564E-2</v>
      </c>
      <c r="H43" s="87">
        <v>1.0706539272597295E-2</v>
      </c>
      <c r="I43" s="86">
        <f t="shared" si="0"/>
        <v>7.0068634559308743E-2</v>
      </c>
      <c r="J43" s="87">
        <f t="shared" si="1"/>
        <v>9.1523642168976869E-3</v>
      </c>
      <c r="K43" s="135"/>
      <c r="L43" s="84" t="s">
        <v>38</v>
      </c>
      <c r="M43" s="88">
        <f t="shared" si="5"/>
        <v>7.5348178546600003E-2</v>
      </c>
      <c r="N43" s="89">
        <f t="shared" si="2"/>
        <v>9.2369037240163029E-3</v>
      </c>
      <c r="O43" s="90">
        <f t="shared" si="3"/>
        <v>7.654700221508276E-2</v>
      </c>
      <c r="P43" s="91">
        <f t="shared" si="4"/>
        <v>5.9027357118569539E-2</v>
      </c>
      <c r="Q43" s="92">
        <v>1167.459308</v>
      </c>
      <c r="R43" s="92">
        <v>5169.5174990000005</v>
      </c>
      <c r="S43" s="94"/>
      <c r="T43" s="83"/>
      <c r="U43" s="83"/>
    </row>
    <row r="44" spans="2:30" ht="6.6" customHeight="1" x14ac:dyDescent="0.3">
      <c r="B44" s="93"/>
      <c r="C44" s="93"/>
      <c r="D44" s="93"/>
      <c r="F44" s="173"/>
      <c r="G44" s="173"/>
      <c r="H44" s="173"/>
      <c r="I44" s="173"/>
      <c r="J44" s="173"/>
      <c r="S44" s="82"/>
      <c r="T44" s="94"/>
      <c r="U44" s="94"/>
    </row>
    <row r="45" spans="2:30" ht="60" x14ac:dyDescent="0.25">
      <c r="B45" s="169" t="s">
        <v>43</v>
      </c>
      <c r="C45" s="169"/>
      <c r="D45" s="169"/>
      <c r="E45" s="22"/>
      <c r="F45" s="175" t="s">
        <v>143</v>
      </c>
      <c r="G45" s="175"/>
      <c r="H45" s="175"/>
      <c r="I45" s="175"/>
      <c r="J45" s="175"/>
      <c r="L45" s="155" t="s">
        <v>72</v>
      </c>
      <c r="M45" s="95">
        <f>((SUMPRODUCT(M28:M43,O28:O43)*100))</f>
        <v>7.5631522536129463</v>
      </c>
      <c r="N45" s="95">
        <f>((SUMPRODUCT(N28:N43,P28:P43)*100))</f>
        <v>1.5409852045843486</v>
      </c>
      <c r="O45" s="21"/>
      <c r="P45" s="155" t="s">
        <v>158</v>
      </c>
      <c r="Q45" s="96">
        <f>SUM(Q28:Q43)</f>
        <v>15251.535320999999</v>
      </c>
      <c r="R45" s="96">
        <f>SUM(R28:R43)</f>
        <v>87578.332341999965</v>
      </c>
      <c r="T45" s="53"/>
      <c r="U45" s="53"/>
    </row>
    <row r="46" spans="2:30" ht="31.15" customHeight="1" x14ac:dyDescent="0.25">
      <c r="B46" s="55"/>
      <c r="C46" s="55"/>
      <c r="D46" s="55"/>
      <c r="F46" s="175"/>
      <c r="G46" s="175"/>
      <c r="H46" s="175"/>
      <c r="I46" s="175"/>
      <c r="J46" s="175"/>
      <c r="L46" s="174" t="s">
        <v>88</v>
      </c>
      <c r="M46" s="174"/>
      <c r="N46" s="174"/>
      <c r="O46" s="174"/>
      <c r="P46" s="174"/>
      <c r="Q46" s="174"/>
      <c r="R46" s="174"/>
    </row>
    <row r="47" spans="2:30" ht="14.45" customHeight="1" x14ac:dyDescent="0.3">
      <c r="L47" s="97"/>
    </row>
    <row r="48" spans="2:30" s="1" customFormat="1" ht="18" customHeight="1" collapsed="1" x14ac:dyDescent="0.25">
      <c r="B48" s="15" t="s">
        <v>124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2:15" ht="14.45" customHeight="1" x14ac:dyDescent="0.25"/>
    <row r="50" spans="2:15" ht="21.6" customHeight="1" x14ac:dyDescent="0.25">
      <c r="B50" s="185" t="s">
        <v>45</v>
      </c>
      <c r="C50" s="146" t="s">
        <v>11</v>
      </c>
      <c r="D50" s="146" t="s">
        <v>12</v>
      </c>
      <c r="E50" s="179" t="s">
        <v>13</v>
      </c>
      <c r="F50" s="179"/>
      <c r="G50" s="179"/>
      <c r="H50" s="179"/>
    </row>
    <row r="51" spans="2:15" x14ac:dyDescent="0.25">
      <c r="B51" s="185"/>
      <c r="C51" s="146" t="s">
        <v>14</v>
      </c>
      <c r="D51" s="146" t="s">
        <v>15</v>
      </c>
      <c r="E51" s="146" t="s">
        <v>16</v>
      </c>
      <c r="F51" s="146" t="s">
        <v>17</v>
      </c>
      <c r="G51" s="182" t="s">
        <v>22</v>
      </c>
      <c r="H51" s="182"/>
    </row>
    <row r="52" spans="2:15" ht="51" customHeight="1" x14ac:dyDescent="0.25">
      <c r="B52" s="99" t="s">
        <v>89</v>
      </c>
      <c r="C52" s="58">
        <v>17406.551638000001</v>
      </c>
      <c r="D52" s="58">
        <v>41176.184979000005</v>
      </c>
      <c r="E52" s="58">
        <v>38503.352579999999</v>
      </c>
      <c r="F52" s="58">
        <v>145475.52323499997</v>
      </c>
      <c r="G52" s="183">
        <f>E52+F52</f>
        <v>183978.87581499998</v>
      </c>
      <c r="H52" s="184"/>
      <c r="K52" s="98"/>
      <c r="L52" s="98"/>
      <c r="M52" s="98"/>
      <c r="N52" s="98"/>
      <c r="O52" s="98"/>
    </row>
    <row r="53" spans="2:15" ht="51" customHeight="1" x14ac:dyDescent="0.25">
      <c r="B53" s="99" t="s">
        <v>90</v>
      </c>
      <c r="C53" s="58">
        <v>13268.997747000001</v>
      </c>
      <c r="D53" s="58">
        <v>24959.052765</v>
      </c>
      <c r="E53" s="58">
        <v>17753.579575</v>
      </c>
      <c r="F53" s="58">
        <v>69824.752766999998</v>
      </c>
      <c r="G53" s="183">
        <f>E53+F53</f>
        <v>87578.332341999994</v>
      </c>
      <c r="H53" s="184"/>
      <c r="K53" s="98"/>
    </row>
    <row r="54" spans="2:15" ht="30" customHeight="1" x14ac:dyDescent="0.25">
      <c r="B54" s="156" t="s">
        <v>18</v>
      </c>
      <c r="C54" s="26">
        <f>(C52/C53)-C57</f>
        <v>1.2422211314743392</v>
      </c>
      <c r="D54" s="26">
        <f>D52/D53</f>
        <v>1.6497495063891703</v>
      </c>
      <c r="E54" s="186"/>
      <c r="F54" s="187"/>
      <c r="G54" s="178">
        <f t="shared" ref="G54:H54" si="6">G52/G53</f>
        <v>2.1007350893203651</v>
      </c>
      <c r="H54" s="178" t="e">
        <f t="shared" si="6"/>
        <v>#DIV/0!</v>
      </c>
      <c r="K54" s="98"/>
      <c r="L54" s="101"/>
      <c r="M54" s="101"/>
      <c r="N54" s="101"/>
      <c r="O54" s="101"/>
    </row>
    <row r="55" spans="2:15" ht="33" customHeight="1" x14ac:dyDescent="0.25">
      <c r="B55" s="180" t="s">
        <v>144</v>
      </c>
      <c r="C55" s="180"/>
      <c r="D55" s="180"/>
      <c r="E55" s="181"/>
      <c r="F55" s="181"/>
      <c r="G55" s="180"/>
      <c r="H55" s="180"/>
      <c r="K55" s="98"/>
      <c r="L55" s="102"/>
      <c r="M55" s="102"/>
      <c r="N55" s="102"/>
      <c r="O55" s="102"/>
    </row>
    <row r="56" spans="2:15" ht="14.45" customHeight="1" x14ac:dyDescent="0.3">
      <c r="B56" s="65"/>
      <c r="C56" s="65"/>
      <c r="D56" s="65"/>
      <c r="E56" s="65"/>
      <c r="F56" s="65"/>
      <c r="G56" s="65"/>
      <c r="H56" s="65"/>
      <c r="I56" s="65"/>
    </row>
    <row r="57" spans="2:15" ht="39.6" customHeight="1" x14ac:dyDescent="0.3">
      <c r="B57" s="156" t="s">
        <v>134</v>
      </c>
      <c r="C57" s="35">
        <f>'Insumos (I) '!$C$19</f>
        <v>6.9599999999999995E-2</v>
      </c>
      <c r="D57" s="65"/>
      <c r="E57" s="65"/>
      <c r="F57" s="65"/>
      <c r="G57" s="65"/>
      <c r="H57" s="65"/>
      <c r="I57" s="65"/>
    </row>
    <row r="58" spans="2:15" ht="45.6" customHeight="1" x14ac:dyDescent="0.25">
      <c r="B58" s="162" t="s">
        <v>91</v>
      </c>
      <c r="C58" s="162"/>
    </row>
    <row r="59" spans="2:15" ht="14.45" customHeight="1" x14ac:dyDescent="0.25"/>
    <row r="60" spans="2:15" ht="14.45" customHeight="1" x14ac:dyDescent="0.25"/>
    <row r="61" spans="2:15" ht="14.45" customHeight="1" x14ac:dyDescent="0.25"/>
    <row r="62" spans="2:15" ht="14.45" customHeight="1" x14ac:dyDescent="0.25"/>
  </sheetData>
  <sheetProtection algorithmName="SHA-512" hashValue="OEu/LFsEzNOfUr8eLN4sIRSRMEr9+rxrmRHz6lMVP1oYjT+8Py6xmOfOZLIBAedl3hjV8wpdri1N4NEj0l5Bdw==" saltValue="lAxG/pD4mIMD2Gmm8cFgSA==" spinCount="100000" sheet="1" objects="1" scenarios="1"/>
  <mergeCells count="31">
    <mergeCell ref="G54:H54"/>
    <mergeCell ref="E50:H50"/>
    <mergeCell ref="B55:H55"/>
    <mergeCell ref="B58:C58"/>
    <mergeCell ref="G51:H51"/>
    <mergeCell ref="G52:H52"/>
    <mergeCell ref="G53:H53"/>
    <mergeCell ref="B50:B51"/>
    <mergeCell ref="E54:F54"/>
    <mergeCell ref="L26:L27"/>
    <mergeCell ref="L25:R25"/>
    <mergeCell ref="F44:J44"/>
    <mergeCell ref="L46:R46"/>
    <mergeCell ref="F45:J46"/>
    <mergeCell ref="F25:J25"/>
    <mergeCell ref="M26:N26"/>
    <mergeCell ref="Q26:R26"/>
    <mergeCell ref="O26:P26"/>
    <mergeCell ref="F26:F27"/>
    <mergeCell ref="I26:J26"/>
    <mergeCell ref="G26:H26"/>
    <mergeCell ref="B1:B5"/>
    <mergeCell ref="B45:D45"/>
    <mergeCell ref="B21:D21"/>
    <mergeCell ref="B18:C18"/>
    <mergeCell ref="B19:C19"/>
    <mergeCell ref="B20:C20"/>
    <mergeCell ref="B25:D25"/>
    <mergeCell ref="B26:B27"/>
    <mergeCell ref="C26:C27"/>
    <mergeCell ref="D26:D27"/>
  </mergeCells>
  <hyperlinks>
    <hyperlink ref="R5" location="Contenido!A1" tooltip="Regresar a contenido" display="Regresar" xr:uid="{00000000-0004-0000-0300-000000000000}"/>
  </hyperlinks>
  <pageMargins left="0.70866141732283472" right="0.70866141732283472" top="0.74803149606299213" bottom="0.74803149606299213" header="0.31496062992125984" footer="0.31496062992125984"/>
  <pageSetup scale="32" fitToWidth="0" orientation="portrait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3"/>
  </sheetPr>
  <dimension ref="A1:BL32"/>
  <sheetViews>
    <sheetView showGridLines="0" zoomScale="80" zoomScaleNormal="80" zoomScaleSheetLayoutView="100" workbookViewId="0">
      <selection activeCell="C10" sqref="C10"/>
    </sheetView>
  </sheetViews>
  <sheetFormatPr baseColWidth="10" defaultColWidth="11.5703125" defaultRowHeight="15" x14ac:dyDescent="0.25"/>
  <cols>
    <col min="1" max="1" width="7.7109375" style="19" customWidth="1"/>
    <col min="2" max="2" width="25.7109375" style="19" customWidth="1"/>
    <col min="3" max="3" width="20.7109375" style="19" customWidth="1"/>
    <col min="4" max="4" width="18.85546875" style="19" customWidth="1"/>
    <col min="5" max="7" width="20.7109375" style="19" customWidth="1"/>
    <col min="8" max="8" width="11.5703125" style="19" customWidth="1"/>
    <col min="9" max="9" width="11.5703125" style="19"/>
    <col min="10" max="10" width="11.5703125" style="19" customWidth="1"/>
    <col min="11" max="16384" width="11.5703125" style="22"/>
  </cols>
  <sheetData>
    <row r="1" spans="1:64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140"/>
      <c r="K1" s="2"/>
      <c r="L1" s="2"/>
    </row>
    <row r="2" spans="1:64" s="1" customFormat="1" ht="22.15" customHeight="1" x14ac:dyDescent="0.25">
      <c r="B2" s="159"/>
      <c r="C2" s="142" t="s">
        <v>0</v>
      </c>
      <c r="G2" s="3"/>
      <c r="H2" s="3"/>
      <c r="I2" s="3"/>
      <c r="J2" s="3"/>
    </row>
    <row r="3" spans="1:64" s="1" customFormat="1" ht="22.15" customHeight="1" x14ac:dyDescent="0.25">
      <c r="B3" s="159"/>
      <c r="C3" s="142" t="s">
        <v>1</v>
      </c>
      <c r="G3" s="140"/>
      <c r="H3" s="140"/>
      <c r="I3" s="140"/>
      <c r="J3" s="140"/>
      <c r="K3" s="2"/>
      <c r="L3" s="2"/>
    </row>
    <row r="4" spans="1:64" s="1" customFormat="1" ht="6.6" customHeight="1" x14ac:dyDescent="0.25">
      <c r="B4" s="159"/>
      <c r="C4" s="140"/>
      <c r="G4" s="140"/>
      <c r="H4" s="140"/>
      <c r="I4" s="140"/>
      <c r="J4" s="140"/>
      <c r="K4" s="2"/>
      <c r="L4" s="2"/>
    </row>
    <row r="5" spans="1:64" s="1" customFormat="1" ht="18" customHeight="1" x14ac:dyDescent="0.3">
      <c r="A5" s="143"/>
      <c r="B5" s="160"/>
      <c r="C5" s="144" t="s">
        <v>131</v>
      </c>
      <c r="D5" s="141"/>
      <c r="E5" s="141"/>
      <c r="F5" s="141"/>
      <c r="G5" s="141"/>
      <c r="H5" s="141"/>
      <c r="I5" s="141"/>
      <c r="J5" s="145" t="s">
        <v>10</v>
      </c>
      <c r="K5" s="2"/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7" spans="1:64" s="1" customFormat="1" ht="18" customHeight="1" collapsed="1" x14ac:dyDescent="0.25">
      <c r="B7" s="15" t="s">
        <v>147</v>
      </c>
      <c r="C7" s="16"/>
      <c r="D7" s="16"/>
      <c r="E7" s="16"/>
      <c r="F7" s="16"/>
      <c r="G7" s="16"/>
      <c r="H7" s="16"/>
      <c r="I7" s="16"/>
      <c r="J7" s="16"/>
      <c r="K7" s="106"/>
      <c r="L7" s="106"/>
      <c r="M7" s="106"/>
      <c r="N7" s="106"/>
      <c r="O7" s="106"/>
      <c r="P7" s="106"/>
      <c r="Q7" s="106"/>
      <c r="R7" s="106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9" spans="1:64" ht="33.6" customHeight="1" x14ac:dyDescent="0.25">
      <c r="B9" s="147" t="s">
        <v>39</v>
      </c>
      <c r="C9" s="147" t="s">
        <v>105</v>
      </c>
      <c r="D9"/>
      <c r="E9"/>
      <c r="F9" s="23"/>
      <c r="G9" s="23"/>
    </row>
    <row r="10" spans="1:64" ht="16.5" x14ac:dyDescent="0.25">
      <c r="B10" s="103" t="s">
        <v>110</v>
      </c>
      <c r="C10" s="104">
        <v>5.4000000000000003E-3</v>
      </c>
      <c r="D10"/>
      <c r="E10"/>
      <c r="F10" s="23"/>
      <c r="G10" s="23"/>
    </row>
    <row r="11" spans="1:64" x14ac:dyDescent="0.25">
      <c r="B11" s="103" t="s">
        <v>5</v>
      </c>
      <c r="C11" s="104">
        <v>0</v>
      </c>
      <c r="D11"/>
      <c r="E11"/>
      <c r="F11" s="23"/>
      <c r="G11" s="23"/>
    </row>
    <row r="12" spans="1:64" x14ac:dyDescent="0.25">
      <c r="B12" s="103" t="s">
        <v>3</v>
      </c>
      <c r="C12" s="104">
        <v>0</v>
      </c>
      <c r="D12"/>
      <c r="E12"/>
      <c r="F12" s="23"/>
      <c r="G12" s="23"/>
    </row>
    <row r="13" spans="1:64" ht="33.6" customHeight="1" x14ac:dyDescent="0.25">
      <c r="B13" s="166" t="s">
        <v>109</v>
      </c>
      <c r="C13" s="166"/>
    </row>
    <row r="14" spans="1:64" ht="14.45" customHeight="1" x14ac:dyDescent="0.25">
      <c r="B14" s="31"/>
    </row>
    <row r="16" spans="1:64" x14ac:dyDescent="0.25">
      <c r="E16" s="122"/>
    </row>
    <row r="17" spans="2:5" x14ac:dyDescent="0.25">
      <c r="E17" s="122"/>
    </row>
    <row r="18" spans="2:5" ht="14.45" customHeight="1" x14ac:dyDescent="0.25">
      <c r="B18" s="31"/>
      <c r="D18" s="21"/>
      <c r="E18" s="122"/>
    </row>
    <row r="19" spans="2:5" x14ac:dyDescent="0.25">
      <c r="B19" s="31"/>
      <c r="D19" s="21"/>
      <c r="E19" s="21"/>
    </row>
    <row r="20" spans="2:5" x14ac:dyDescent="0.25">
      <c r="D20" s="21"/>
      <c r="E20" s="21"/>
    </row>
    <row r="21" spans="2:5" x14ac:dyDescent="0.25">
      <c r="D21" s="21"/>
      <c r="E21" s="21"/>
    </row>
    <row r="22" spans="2:5" x14ac:dyDescent="0.25">
      <c r="D22" s="21"/>
      <c r="E22" s="21"/>
    </row>
    <row r="23" spans="2:5" x14ac:dyDescent="0.25">
      <c r="D23" s="21"/>
      <c r="E23" s="21"/>
    </row>
    <row r="24" spans="2:5" x14ac:dyDescent="0.25">
      <c r="D24" s="21"/>
      <c r="E24" s="21"/>
    </row>
    <row r="25" spans="2:5" x14ac:dyDescent="0.25">
      <c r="D25" s="21"/>
      <c r="E25" s="21"/>
    </row>
    <row r="26" spans="2:5" x14ac:dyDescent="0.25">
      <c r="D26" s="21"/>
      <c r="E26" s="21"/>
    </row>
    <row r="27" spans="2:5" x14ac:dyDescent="0.25">
      <c r="D27" s="21"/>
      <c r="E27" s="21"/>
    </row>
    <row r="28" spans="2:5" x14ac:dyDescent="0.25">
      <c r="D28" s="21"/>
      <c r="E28" s="21"/>
    </row>
    <row r="29" spans="2:5" x14ac:dyDescent="0.25">
      <c r="D29" s="21"/>
      <c r="E29" s="21"/>
    </row>
    <row r="30" spans="2:5" x14ac:dyDescent="0.25">
      <c r="D30" s="21"/>
      <c r="E30" s="21"/>
    </row>
    <row r="31" spans="2:5" x14ac:dyDescent="0.25">
      <c r="D31" s="21"/>
      <c r="E31" s="21"/>
    </row>
    <row r="32" spans="2:5" x14ac:dyDescent="0.25">
      <c r="D32" s="21"/>
      <c r="E32" s="21"/>
    </row>
  </sheetData>
  <sheetProtection algorithmName="SHA-512" hashValue="FQHYYenqbNMytOj6BA2YlfFkH9lvBESnUUNVzxYbKnCHS5SfyzxFIdbVlkme+9njsOXK8xAFxWw5nD3INl4UWg==" saltValue="q3KHvwX8twse/8g0z0wEOg==" spinCount="100000" sheet="1" objects="1" scenarios="1"/>
  <mergeCells count="2">
    <mergeCell ref="B1:B5"/>
    <mergeCell ref="B13:C13"/>
  </mergeCells>
  <hyperlinks>
    <hyperlink ref="J5" location="Contenido!A1" tooltip="Regresar a contenido" display="Regresar" xr:uid="{00000000-0004-0000-0400-000000000000}"/>
  </hyperlinks>
  <pageMargins left="0.70866141732283472" right="0.70866141732283472" top="0.74803149606299213" bottom="0.74803149606299213" header="0.31496062992125984" footer="0.31496062992125984"/>
  <pageSetup fitToWidth="0" orientation="portrait" r:id="rId1"/>
  <headerFooter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BN52"/>
  <sheetViews>
    <sheetView showGridLines="0" zoomScale="80" zoomScaleNormal="80" zoomScaleSheetLayoutView="100" workbookViewId="0">
      <selection activeCell="C18" sqref="C18"/>
    </sheetView>
  </sheetViews>
  <sheetFormatPr baseColWidth="10" defaultColWidth="11.5703125" defaultRowHeight="15" x14ac:dyDescent="0.25"/>
  <cols>
    <col min="1" max="1" width="7.7109375" style="19" customWidth="1"/>
    <col min="2" max="2" width="25.7109375" style="19" customWidth="1"/>
    <col min="3" max="3" width="20.7109375" style="19" customWidth="1"/>
    <col min="4" max="4" width="18.85546875" style="19" customWidth="1"/>
    <col min="5" max="7" width="20.7109375" style="19" customWidth="1"/>
    <col min="8" max="8" width="11.5703125" style="19" customWidth="1"/>
    <col min="9" max="11" width="11.5703125" style="19"/>
    <col min="12" max="12" width="11.5703125" style="19" customWidth="1"/>
    <col min="13" max="16384" width="11.5703125" style="22"/>
  </cols>
  <sheetData>
    <row r="1" spans="1:66" s="1" customFormat="1" ht="18" customHeight="1" x14ac:dyDescent="0.25">
      <c r="B1" s="15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"/>
      <c r="N1" s="2"/>
    </row>
    <row r="2" spans="1:66" s="1" customFormat="1" ht="22.15" customHeight="1" x14ac:dyDescent="0.25">
      <c r="B2" s="159"/>
      <c r="C2" s="142" t="s">
        <v>0</v>
      </c>
      <c r="G2" s="3"/>
      <c r="H2" s="3"/>
      <c r="I2" s="3"/>
      <c r="J2" s="3"/>
      <c r="K2" s="3"/>
      <c r="L2" s="3"/>
    </row>
    <row r="3" spans="1:66" s="1" customFormat="1" ht="22.15" customHeight="1" x14ac:dyDescent="0.25">
      <c r="B3" s="159"/>
      <c r="C3" s="142" t="s">
        <v>1</v>
      </c>
      <c r="G3" s="140"/>
      <c r="H3" s="140"/>
      <c r="I3" s="140"/>
      <c r="J3" s="140"/>
      <c r="K3" s="140"/>
      <c r="L3" s="140"/>
      <c r="M3" s="2"/>
      <c r="N3" s="2"/>
    </row>
    <row r="4" spans="1:66" s="1" customFormat="1" ht="6.6" customHeight="1" x14ac:dyDescent="0.25">
      <c r="B4" s="159"/>
      <c r="C4" s="140"/>
      <c r="G4" s="140"/>
      <c r="H4" s="140"/>
      <c r="I4" s="140"/>
      <c r="J4" s="140"/>
      <c r="K4" s="140"/>
      <c r="L4" s="140"/>
      <c r="M4" s="2"/>
      <c r="N4" s="2"/>
    </row>
    <row r="5" spans="1:66" s="1" customFormat="1" ht="18" customHeight="1" x14ac:dyDescent="0.3">
      <c r="A5" s="143"/>
      <c r="B5" s="160"/>
      <c r="C5" s="144" t="s">
        <v>132</v>
      </c>
      <c r="D5" s="141"/>
      <c r="E5" s="141"/>
      <c r="F5" s="141"/>
      <c r="G5" s="141"/>
      <c r="H5" s="141"/>
      <c r="I5" s="141"/>
      <c r="J5" s="5"/>
      <c r="K5" s="141"/>
      <c r="L5" s="145" t="s">
        <v>10</v>
      </c>
      <c r="M5" s="2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7" spans="1:66" s="1" customFormat="1" ht="18" customHeight="1" collapsed="1" x14ac:dyDescent="0.25">
      <c r="B7" s="15" t="s">
        <v>148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9" spans="1:66" ht="33.6" customHeight="1" x14ac:dyDescent="0.25">
      <c r="B9" s="147" t="s">
        <v>39</v>
      </c>
      <c r="C9" s="147" t="s">
        <v>47</v>
      </c>
      <c r="D9" s="23"/>
      <c r="E9" s="23"/>
    </row>
    <row r="10" spans="1:66" x14ac:dyDescent="0.25">
      <c r="B10" s="103" t="s">
        <v>4</v>
      </c>
      <c r="C10" s="133">
        <f>ROUND($C$27,5)</f>
        <v>1.0000000000000001E-5</v>
      </c>
      <c r="D10" s="23"/>
      <c r="E10" s="23"/>
    </row>
    <row r="11" spans="1:66" x14ac:dyDescent="0.25">
      <c r="B11" s="103" t="s">
        <v>5</v>
      </c>
      <c r="C11" s="133">
        <f>ROUND($C$28,5)</f>
        <v>1.92E-3</v>
      </c>
      <c r="D11" s="23"/>
      <c r="E11" s="23"/>
    </row>
    <row r="12" spans="1:66" x14ac:dyDescent="0.25">
      <c r="B12" s="103" t="s">
        <v>3</v>
      </c>
      <c r="C12" s="133">
        <f>ROUND($C$29,5)</f>
        <v>3.3730000000000003E-2</v>
      </c>
      <c r="D12" s="23"/>
      <c r="E12" s="23"/>
    </row>
    <row r="13" spans="1:66" ht="14.45" customHeight="1" x14ac:dyDescent="0.25">
      <c r="B13" s="105"/>
    </row>
    <row r="14" spans="1:66" s="1" customFormat="1" ht="18" customHeight="1" collapsed="1" x14ac:dyDescent="0.25">
      <c r="B14" s="15" t="s">
        <v>125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66" ht="14.45" customHeight="1" x14ac:dyDescent="0.25">
      <c r="B15" s="20"/>
      <c r="D15" s="21"/>
      <c r="E15" s="21"/>
    </row>
    <row r="16" spans="1:66" ht="27.6" customHeight="1" x14ac:dyDescent="0.25">
      <c r="B16" s="157" t="s">
        <v>48</v>
      </c>
      <c r="C16" s="147" t="s">
        <v>53</v>
      </c>
    </row>
    <row r="17" spans="1:66" ht="46.5" x14ac:dyDescent="0.25">
      <c r="B17" s="99" t="s">
        <v>94</v>
      </c>
      <c r="C17" s="110">
        <v>57662012</v>
      </c>
    </row>
    <row r="18" spans="1:66" ht="30" x14ac:dyDescent="0.25">
      <c r="B18" s="99" t="s">
        <v>77</v>
      </c>
      <c r="C18" s="110">
        <f>C17/12</f>
        <v>4805167.666666667</v>
      </c>
      <c r="D18" s="111"/>
      <c r="H18" s="98"/>
    </row>
    <row r="19" spans="1:66" ht="61.5" x14ac:dyDescent="0.25">
      <c r="B19" s="99" t="s">
        <v>95</v>
      </c>
      <c r="C19" s="112">
        <v>0.62</v>
      </c>
      <c r="D19" s="111"/>
    </row>
    <row r="20" spans="1:66" ht="15" customHeight="1" x14ac:dyDescent="0.25">
      <c r="A20" s="22"/>
      <c r="B20" s="113"/>
      <c r="C20" s="114"/>
      <c r="D20" s="22"/>
      <c r="E20" s="22"/>
      <c r="F20" s="22"/>
      <c r="G20" s="22"/>
      <c r="H20" s="22"/>
      <c r="I20" s="22"/>
      <c r="J20" s="22"/>
      <c r="K20" s="22"/>
      <c r="L20" s="22"/>
    </row>
    <row r="21" spans="1:66" ht="30" x14ac:dyDescent="0.25">
      <c r="B21" s="157" t="s">
        <v>48</v>
      </c>
      <c r="C21" s="147" t="s">
        <v>50</v>
      </c>
    </row>
    <row r="22" spans="1:66" ht="46.5" x14ac:dyDescent="0.25">
      <c r="B22" s="99" t="s">
        <v>96</v>
      </c>
      <c r="C22" s="115">
        <v>37170</v>
      </c>
    </row>
    <row r="23" spans="1:66" ht="8.4499999999999993" customHeight="1" x14ac:dyDescent="0.25">
      <c r="A23" s="22"/>
      <c r="B23" s="113"/>
      <c r="C23" s="114"/>
      <c r="D23" s="22"/>
      <c r="E23" s="22"/>
      <c r="F23" s="22"/>
      <c r="G23" s="22"/>
      <c r="H23" s="22"/>
      <c r="I23" s="22"/>
      <c r="J23" s="22"/>
      <c r="K23" s="22"/>
      <c r="L23" s="22"/>
    </row>
    <row r="24" spans="1:66" ht="45" x14ac:dyDescent="0.25">
      <c r="B24" s="155" t="s">
        <v>78</v>
      </c>
      <c r="C24" s="116">
        <f>(C18*C19)/C22</f>
        <v>80.150765491884144</v>
      </c>
    </row>
    <row r="25" spans="1:66" x14ac:dyDescent="0.25">
      <c r="B25" s="20"/>
      <c r="D25" s="21"/>
      <c r="E25" s="21"/>
    </row>
    <row r="26" spans="1:66" ht="75" x14ac:dyDescent="0.3">
      <c r="B26" s="147" t="s">
        <v>39</v>
      </c>
      <c r="C26" s="147" t="s">
        <v>112</v>
      </c>
      <c r="D26" s="147" t="s">
        <v>97</v>
      </c>
      <c r="E26" s="147" t="s">
        <v>98</v>
      </c>
      <c r="F26" s="147" t="s">
        <v>76</v>
      </c>
      <c r="H26" s="65"/>
      <c r="I26" s="65"/>
      <c r="J26" s="4"/>
    </row>
    <row r="27" spans="1:66" x14ac:dyDescent="0.3">
      <c r="B27" s="117" t="s">
        <v>4</v>
      </c>
      <c r="C27" s="132">
        <f>$C$24/F27</f>
        <v>1.4142319597943667E-5</v>
      </c>
      <c r="D27" s="118">
        <v>186.16666666666666</v>
      </c>
      <c r="E27" s="96">
        <v>1055088.64646047</v>
      </c>
      <c r="F27" s="96">
        <f>E27*1000/D27</f>
        <v>5667441.2522496162</v>
      </c>
      <c r="H27" s="65"/>
      <c r="I27" s="119"/>
      <c r="J27" s="4"/>
    </row>
    <row r="28" spans="1:66" x14ac:dyDescent="0.3">
      <c r="B28" s="117" t="s">
        <v>5</v>
      </c>
      <c r="C28" s="132">
        <f>($C$24/F28)-C27</f>
        <v>1.9222609360143974E-3</v>
      </c>
      <c r="D28" s="118">
        <v>19072.166666666668</v>
      </c>
      <c r="E28" s="96">
        <v>789426.86834036105</v>
      </c>
      <c r="F28" s="96">
        <f>E28*1000/D28</f>
        <v>41391.567205632688</v>
      </c>
      <c r="H28" s="65"/>
      <c r="I28" s="119"/>
      <c r="J28" s="4"/>
    </row>
    <row r="29" spans="1:66" s="19" customFormat="1" x14ac:dyDescent="0.25">
      <c r="B29" s="117" t="s">
        <v>3</v>
      </c>
      <c r="C29" s="132">
        <f>($C$24/F29)-C28-C27</f>
        <v>3.3728149981516679E-2</v>
      </c>
      <c r="D29" s="118">
        <v>17554.25</v>
      </c>
      <c r="E29" s="96">
        <v>39450.559377010402</v>
      </c>
      <c r="F29" s="96">
        <f>E29*1000/D29</f>
        <v>2247.3508909244429</v>
      </c>
      <c r="I29" s="45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19" customFormat="1" ht="15" customHeight="1" x14ac:dyDescent="0.25">
      <c r="B30" s="188"/>
      <c r="C30" s="189"/>
      <c r="D30" s="158">
        <f>SUM(D27:D29)</f>
        <v>36812.583333333336</v>
      </c>
      <c r="E30" s="158">
        <f>E27+E28+E29</f>
        <v>1883966.0741778417</v>
      </c>
      <c r="F30" s="158">
        <f>E30*1000/D30</f>
        <v>51177.230815853494</v>
      </c>
      <c r="G30" s="12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</row>
    <row r="31" spans="1:66" s="19" customFormat="1" ht="136.15" customHeight="1" x14ac:dyDescent="0.25">
      <c r="B31" s="163" t="s">
        <v>145</v>
      </c>
      <c r="C31" s="163"/>
      <c r="D31" s="162"/>
      <c r="E31" s="162"/>
      <c r="F31" s="162"/>
      <c r="G31" s="121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s="19" customFormat="1" x14ac:dyDescent="0.25">
      <c r="D32" s="21"/>
      <c r="E32" s="21"/>
      <c r="G32" s="21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</row>
    <row r="36" spans="2:66" s="19" customFormat="1" x14ac:dyDescent="0.25">
      <c r="E36" s="1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2:66" s="19" customFormat="1" x14ac:dyDescent="0.25">
      <c r="E37" s="1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</row>
    <row r="38" spans="2:66" s="19" customFormat="1" ht="14.45" customHeight="1" x14ac:dyDescent="0.25">
      <c r="B38" s="31"/>
      <c r="D38" s="21"/>
      <c r="E38" s="1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</row>
    <row r="39" spans="2:66" s="19" customFormat="1" x14ac:dyDescent="0.25">
      <c r="B39" s="31"/>
      <c r="D39" s="21"/>
      <c r="E39" s="21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</row>
    <row r="40" spans="2:66" s="19" customFormat="1" x14ac:dyDescent="0.25">
      <c r="D40" s="21"/>
      <c r="E40" s="21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</row>
    <row r="41" spans="2:66" s="19" customFormat="1" x14ac:dyDescent="0.25">
      <c r="D41" s="21"/>
      <c r="E41" s="21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</row>
    <row r="42" spans="2:66" s="19" customFormat="1" x14ac:dyDescent="0.25">
      <c r="D42" s="21"/>
      <c r="E42" s="21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</row>
    <row r="43" spans="2:66" s="19" customFormat="1" x14ac:dyDescent="0.25">
      <c r="D43" s="21"/>
      <c r="E43" s="21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</row>
    <row r="44" spans="2:66" s="19" customFormat="1" x14ac:dyDescent="0.25">
      <c r="D44" s="21"/>
      <c r="E44" s="21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</row>
    <row r="45" spans="2:66" s="19" customFormat="1" x14ac:dyDescent="0.25">
      <c r="D45" s="21"/>
      <c r="E45" s="21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</row>
    <row r="46" spans="2:66" s="19" customFormat="1" x14ac:dyDescent="0.25">
      <c r="D46" s="21"/>
      <c r="E46" s="21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</row>
    <row r="47" spans="2:66" s="19" customFormat="1" x14ac:dyDescent="0.25">
      <c r="D47" s="21"/>
      <c r="E47" s="21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</row>
    <row r="48" spans="2:66" s="19" customFormat="1" x14ac:dyDescent="0.25">
      <c r="D48" s="21"/>
      <c r="E48" s="21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</row>
    <row r="49" spans="4:66" s="19" customFormat="1" x14ac:dyDescent="0.25">
      <c r="D49" s="21"/>
      <c r="E49" s="21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</row>
    <row r="50" spans="4:66" s="19" customFormat="1" x14ac:dyDescent="0.25">
      <c r="D50" s="21"/>
      <c r="E50" s="21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</row>
    <row r="51" spans="4:66" s="19" customFormat="1" x14ac:dyDescent="0.25">
      <c r="D51" s="21"/>
      <c r="E51" s="21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</row>
    <row r="52" spans="4:66" s="19" customFormat="1" x14ac:dyDescent="0.25">
      <c r="D52" s="21"/>
      <c r="E52" s="21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</row>
  </sheetData>
  <sheetProtection algorithmName="SHA-512" hashValue="WXsprhQTz1O8CVk7B7ffa8kp2ZZ2RBK74ZrwwY/E8daX2jZpvAML10N+PELMwnFtPng3CxNMg3a7bLpdpkJ+IA==" saltValue="VP6sET6qHO33+qWn8L2gCA==" spinCount="100000" sheet="1" objects="1" scenarios="1"/>
  <mergeCells count="3">
    <mergeCell ref="B1:B5"/>
    <mergeCell ref="B31:F31"/>
    <mergeCell ref="B30:C30"/>
  </mergeCells>
  <hyperlinks>
    <hyperlink ref="L5" location="Contenido!A1" tooltip="Regresar a contenido" display="Regresar" xr:uid="{00000000-0004-0000-0500-000000000000}"/>
  </hyperlinks>
  <pageMargins left="0.70866141732283472" right="0.70866141732283472" top="0.74803149606299213" bottom="0.74803149606299213" header="0.31496062992125984" footer="0.31496062992125984"/>
  <pageSetup fitToWidth="0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Contenido</vt:lpstr>
      <vt:lpstr>Cargos transmisión renovables</vt:lpstr>
      <vt:lpstr>Insumos (I) </vt:lpstr>
      <vt:lpstr>Insumos (P) </vt:lpstr>
      <vt:lpstr>Insumos (SC) </vt:lpstr>
      <vt:lpstr>Insumos (CFAC)</vt:lpstr>
      <vt:lpstr>Contenido!Área_de_impresión</vt:lpstr>
      <vt:lpstr>'Insumos (CFAC)'!Área_de_impresión</vt:lpstr>
      <vt:lpstr>'Insumos (I) '!Área_de_impresión</vt:lpstr>
      <vt:lpstr>'Insumos (P) '!Área_de_impresión</vt:lpstr>
      <vt:lpstr>'Insumos (SC)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</dc:creator>
  <cp:lastModifiedBy>DGAEEIE</cp:lastModifiedBy>
  <cp:lastPrinted>2020-03-03T01:54:06Z</cp:lastPrinted>
  <dcterms:created xsi:type="dcterms:W3CDTF">2019-05-09T16:07:21Z</dcterms:created>
  <dcterms:modified xsi:type="dcterms:W3CDTF">2022-01-06T22:56:10Z</dcterms:modified>
</cp:coreProperties>
</file>